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795" windowHeight="6300" tabRatio="811"/>
  </bookViews>
  <sheets>
    <sheet name="서구" sheetId="32" r:id="rId1"/>
  </sheets>
  <definedNames>
    <definedName name="_xlnm.Print_Area" localSheetId="0">서구!$A$1:$N$48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1" i="32" l="1"/>
  <c r="L11" i="32"/>
  <c r="K11" i="32"/>
  <c r="J11" i="32"/>
  <c r="I11" i="32"/>
  <c r="H11" i="32"/>
  <c r="G11" i="32"/>
  <c r="F11" i="32"/>
  <c r="E11" i="32"/>
  <c r="D11" i="32"/>
  <c r="C11" i="32"/>
  <c r="B11" i="32" l="1"/>
  <c r="H47" i="32" l="1"/>
  <c r="G47" i="32"/>
  <c r="F47" i="32"/>
  <c r="B47" i="32"/>
  <c r="H17" i="32"/>
  <c r="G17" i="32"/>
  <c r="F17" i="32"/>
  <c r="B17" i="32"/>
  <c r="N10" i="32"/>
  <c r="M10" i="32"/>
  <c r="L10" i="32"/>
  <c r="K10" i="32"/>
  <c r="J10" i="32"/>
  <c r="I10" i="32"/>
  <c r="H10" i="32"/>
  <c r="G10" i="32"/>
  <c r="F10" i="32"/>
  <c r="E10" i="32"/>
  <c r="D10" i="32"/>
  <c r="C10" i="32"/>
  <c r="N9" i="32"/>
  <c r="M9" i="32"/>
  <c r="L9" i="32"/>
  <c r="K9" i="32"/>
  <c r="J9" i="32"/>
  <c r="I9" i="32"/>
  <c r="H9" i="32"/>
  <c r="G9" i="32"/>
  <c r="F9" i="32"/>
  <c r="E9" i="32"/>
  <c r="D9" i="32"/>
  <c r="C9" i="32"/>
  <c r="N8" i="32"/>
  <c r="N6" i="32" s="1"/>
  <c r="M8" i="32"/>
  <c r="M6" i="32" s="1"/>
  <c r="L8" i="32"/>
  <c r="L6" i="32" s="1"/>
  <c r="K8" i="32"/>
  <c r="K6" i="32" s="1"/>
  <c r="J8" i="32"/>
  <c r="J6" i="32" s="1"/>
  <c r="I8" i="32"/>
  <c r="I6" i="32" s="1"/>
  <c r="H8" i="32"/>
  <c r="H6" i="32" s="1"/>
  <c r="G8" i="32"/>
  <c r="G6" i="32" s="1"/>
  <c r="F8" i="32"/>
  <c r="F6" i="32" s="1"/>
  <c r="E8" i="32"/>
  <c r="E6" i="32" s="1"/>
  <c r="D8" i="32"/>
  <c r="D6" i="32" s="1"/>
  <c r="C8" i="32"/>
  <c r="N7" i="32"/>
  <c r="N5" i="32" s="1"/>
  <c r="M7" i="32"/>
  <c r="M5" i="32" s="1"/>
  <c r="L7" i="32"/>
  <c r="L5" i="32" s="1"/>
  <c r="K7" i="32"/>
  <c r="K5" i="32" s="1"/>
  <c r="J7" i="32"/>
  <c r="J5" i="32" s="1"/>
  <c r="I7" i="32"/>
  <c r="I5" i="32" s="1"/>
  <c r="H7" i="32"/>
  <c r="H5" i="32" s="1"/>
  <c r="G7" i="32"/>
  <c r="G5" i="32" s="1"/>
  <c r="F7" i="32"/>
  <c r="F5" i="32" s="1"/>
  <c r="E7" i="32"/>
  <c r="E5" i="32" s="1"/>
  <c r="D7" i="32"/>
  <c r="D5" i="32" s="1"/>
  <c r="C7" i="32"/>
  <c r="C5" i="32" l="1"/>
  <c r="B8" i="32"/>
  <c r="B9" i="32"/>
  <c r="C6" i="32"/>
  <c r="B10" i="32"/>
  <c r="B7" i="32"/>
  <c r="B5" i="32" l="1"/>
  <c r="B6" i="32"/>
</calcChain>
</file>

<file path=xl/sharedStrings.xml><?xml version="1.0" encoding="utf-8"?>
<sst xmlns="http://schemas.openxmlformats.org/spreadsheetml/2006/main" count="212" uniqueCount="120">
  <si>
    <t>계</t>
    <phoneticPr fontId="2" type="noConversion"/>
  </si>
  <si>
    <t>위치</t>
  </si>
  <si>
    <t>산54임</t>
  </si>
  <si>
    <t>대곡동</t>
  </si>
  <si>
    <t>산24임</t>
  </si>
  <si>
    <t>산31임</t>
  </si>
  <si>
    <t>금곡동</t>
  </si>
  <si>
    <t>산138-3임</t>
  </si>
  <si>
    <t>658-1전</t>
  </si>
  <si>
    <t>왕길동</t>
  </si>
  <si>
    <t>226-3임</t>
  </si>
  <si>
    <t>마전동</t>
  </si>
  <si>
    <t>513-2도</t>
  </si>
  <si>
    <t>529-11 임</t>
  </si>
  <si>
    <t>당하동</t>
  </si>
  <si>
    <t>61-11 대</t>
  </si>
  <si>
    <t>838-1장</t>
  </si>
  <si>
    <t>산51-1임</t>
  </si>
  <si>
    <t>765-2답</t>
  </si>
  <si>
    <t>산135 임</t>
  </si>
  <si>
    <t>산150임</t>
  </si>
  <si>
    <t>가정동</t>
  </si>
  <si>
    <t>산7임</t>
  </si>
  <si>
    <t>석남동</t>
  </si>
  <si>
    <t>산2-1임</t>
  </si>
  <si>
    <t>산16임</t>
  </si>
  <si>
    <t>시천동</t>
  </si>
  <si>
    <t>133답</t>
  </si>
  <si>
    <t>심곡동</t>
  </si>
  <si>
    <t>산67임</t>
  </si>
  <si>
    <t>공촌동</t>
  </si>
  <si>
    <t>산155</t>
  </si>
  <si>
    <t>가좌동</t>
  </si>
  <si>
    <t>산6-2</t>
  </si>
  <si>
    <t>산158</t>
  </si>
  <si>
    <t>산146임</t>
  </si>
  <si>
    <t>검암동</t>
  </si>
  <si>
    <t>산12-2임</t>
  </si>
  <si>
    <t>산50-6 임</t>
  </si>
  <si>
    <t>산52임</t>
  </si>
  <si>
    <t>읍면동</t>
    <phoneticPr fontId="2" type="noConversion"/>
  </si>
  <si>
    <t>리</t>
    <phoneticPr fontId="2" type="noConversion"/>
  </si>
  <si>
    <t>토석류</t>
    <phoneticPr fontId="2" type="noConversion"/>
  </si>
  <si>
    <t>산사태</t>
    <phoneticPr fontId="2" type="noConversion"/>
  </si>
  <si>
    <t>지정개소</t>
    <phoneticPr fontId="2" type="noConversion"/>
  </si>
  <si>
    <t>지정면적</t>
    <phoneticPr fontId="2" type="noConversion"/>
  </si>
  <si>
    <t>지정번호</t>
    <phoneticPr fontId="2" type="noConversion"/>
  </si>
  <si>
    <t>해제개소</t>
    <phoneticPr fontId="2" type="noConversion"/>
  </si>
  <si>
    <t>해제면적</t>
    <phoneticPr fontId="2" type="noConversion"/>
  </si>
  <si>
    <t>2014-11</t>
    <phoneticPr fontId="2" type="noConversion"/>
  </si>
  <si>
    <t>2014-9</t>
    <phoneticPr fontId="2" type="noConversion"/>
  </si>
  <si>
    <t>2015-1</t>
    <phoneticPr fontId="2" type="noConversion"/>
  </si>
  <si>
    <t>2014-2</t>
    <phoneticPr fontId="2" type="noConversion"/>
  </si>
  <si>
    <t>구분</t>
    <phoneticPr fontId="2" type="noConversion"/>
  </si>
  <si>
    <t>지정현황</t>
    <phoneticPr fontId="2" type="noConversion"/>
  </si>
  <si>
    <t>대표지번</t>
    <phoneticPr fontId="2" type="noConversion"/>
  </si>
  <si>
    <t>현황개소</t>
    <phoneticPr fontId="2" type="noConversion"/>
  </si>
  <si>
    <t>현황면적</t>
    <phoneticPr fontId="2" type="noConversion"/>
  </si>
  <si>
    <t>유형</t>
    <phoneticPr fontId="2" type="noConversion"/>
  </si>
  <si>
    <t>지정면적(㎡)</t>
    <phoneticPr fontId="2" type="noConversion"/>
  </si>
  <si>
    <t>지정일자</t>
    <phoneticPr fontId="2" type="noConversion"/>
  </si>
  <si>
    <t>사방시설 설치 및 계획</t>
    <phoneticPr fontId="2" type="noConversion"/>
  </si>
  <si>
    <t>설치(계획)년도</t>
    <phoneticPr fontId="2" type="noConversion"/>
  </si>
  <si>
    <t>시설종류</t>
    <phoneticPr fontId="2" type="noConversion"/>
  </si>
  <si>
    <t>시설규모</t>
    <phoneticPr fontId="2" type="noConversion"/>
  </si>
  <si>
    <t>해제일자</t>
    <phoneticPr fontId="2" type="noConversion"/>
  </si>
  <si>
    <t>지정현황 계</t>
    <phoneticPr fontId="2" type="noConversion"/>
  </si>
  <si>
    <t>해제현황 계</t>
    <phoneticPr fontId="2" type="noConversion"/>
  </si>
  <si>
    <t>ㅁ 총괄</t>
    <phoneticPr fontId="2" type="noConversion"/>
  </si>
  <si>
    <t>ㅁ 상세</t>
    <phoneticPr fontId="2" type="noConversion"/>
  </si>
  <si>
    <t>2015-3</t>
    <phoneticPr fontId="2" type="noConversion"/>
  </si>
  <si>
    <t>2014-5</t>
    <phoneticPr fontId="2" type="noConversion"/>
  </si>
  <si>
    <t>2014-18</t>
    <phoneticPr fontId="2" type="noConversion"/>
  </si>
  <si>
    <t>2014-10</t>
    <phoneticPr fontId="2" type="noConversion"/>
  </si>
  <si>
    <t>2015-2</t>
    <phoneticPr fontId="2" type="noConversion"/>
  </si>
  <si>
    <t>2014-1</t>
    <phoneticPr fontId="2" type="noConversion"/>
  </si>
  <si>
    <t>2014-3</t>
    <phoneticPr fontId="2" type="noConversion"/>
  </si>
  <si>
    <t>비고</t>
    <phoneticPr fontId="2" type="noConversion"/>
  </si>
  <si>
    <t>2014-4</t>
    <phoneticPr fontId="2" type="noConversion"/>
  </si>
  <si>
    <t>2014-6</t>
    <phoneticPr fontId="2" type="noConversion"/>
  </si>
  <si>
    <t>2014-7</t>
    <phoneticPr fontId="2" type="noConversion"/>
  </si>
  <si>
    <t>2014-8</t>
    <phoneticPr fontId="2" type="noConversion"/>
  </si>
  <si>
    <t>2014-12</t>
    <phoneticPr fontId="2" type="noConversion"/>
  </si>
  <si>
    <t>2014-13</t>
    <phoneticPr fontId="2" type="noConversion"/>
  </si>
  <si>
    <t>지정 및 해제(계획)</t>
    <phoneticPr fontId="2" type="noConversion"/>
  </si>
  <si>
    <t>2014-16</t>
    <phoneticPr fontId="2" type="noConversion"/>
  </si>
  <si>
    <t>2014-14</t>
    <phoneticPr fontId="2" type="noConversion"/>
  </si>
  <si>
    <t>2014-19</t>
    <phoneticPr fontId="2" type="noConversion"/>
  </si>
  <si>
    <t>2014-17</t>
    <phoneticPr fontId="2" type="noConversion"/>
  </si>
  <si>
    <t>2015-06-30</t>
  </si>
  <si>
    <t>2014-15</t>
    <phoneticPr fontId="2" type="noConversion"/>
  </si>
  <si>
    <t>2014-07-30</t>
  </si>
  <si>
    <t>2022-12-26</t>
  </si>
  <si>
    <t>산37-1임</t>
  </si>
  <si>
    <t>산45-18 임</t>
  </si>
  <si>
    <t>204-51</t>
  </si>
  <si>
    <t>2013-10-04</t>
  </si>
  <si>
    <t>학교부지 편입</t>
    <phoneticPr fontId="2" type="noConversion"/>
  </si>
  <si>
    <t>2013-1</t>
    <phoneticPr fontId="2" type="noConversion"/>
  </si>
  <si>
    <t>2013-2</t>
    <phoneticPr fontId="2" type="noConversion"/>
  </si>
  <si>
    <t>2014-20</t>
    <phoneticPr fontId="2" type="noConversion"/>
  </si>
  <si>
    <t>2015-4</t>
    <phoneticPr fontId="2" type="noConversion"/>
  </si>
  <si>
    <t>2015-6</t>
    <phoneticPr fontId="2" type="noConversion"/>
  </si>
  <si>
    <t>2015-5</t>
    <phoneticPr fontId="2" type="noConversion"/>
  </si>
  <si>
    <t>2015-7</t>
    <phoneticPr fontId="2" type="noConversion"/>
  </si>
  <si>
    <t>20122-3</t>
    <phoneticPr fontId="2" type="noConversion"/>
  </si>
  <si>
    <t>계류보전</t>
  </si>
  <si>
    <t>1km</t>
  </si>
  <si>
    <t>0.5km</t>
  </si>
  <si>
    <t>0.6km</t>
  </si>
  <si>
    <t>0.25km</t>
  </si>
  <si>
    <t>1.4km</t>
  </si>
  <si>
    <t>0.3km</t>
  </si>
  <si>
    <t>1.25km</t>
  </si>
  <si>
    <t>2023년 산사태 발생 
우려지역 실태조사 용역</t>
  </si>
  <si>
    <t>2022년 사방사업 
타당성 평가 부적합 부지</t>
  </si>
  <si>
    <t>검단신도시 택지개발 부지</t>
  </si>
  <si>
    <t>사방시설(지정)</t>
    <phoneticPr fontId="2" type="noConversion"/>
  </si>
  <si>
    <t>사방시설(해제)</t>
    <phoneticPr fontId="2" type="noConversion"/>
  </si>
  <si>
    <t>[서구] 산사태취약지역 관리대장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</si>
</sst>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_-* #,##0.00_-;\-* #,##0.00_-;_-* &quot;-&quot;_-;_-@_-"/>
    <numFmt numFmtId="178" formatCode="_-* #,##0.000_-;\-* #,##0.000_-;_-* &quot;-&quot;_-;_-@_-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4"/>
      <color theme="1"/>
      <name val="HY헤드라인M"/>
      <family val="1"/>
      <charset val="129"/>
    </font>
    <font>
      <b/>
      <sz val="14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41" fontId="11" fillId="0" borderId="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41" fontId="11" fillId="0" borderId="0" xfId="1" applyFont="1" applyBorder="1">
      <alignment vertical="center"/>
    </xf>
    <xf numFmtId="41" fontId="11" fillId="0" borderId="0" xfId="1" applyFont="1" applyFill="1" applyBorder="1" applyAlignment="1">
      <alignment horizontal="center" vertical="center"/>
    </xf>
    <xf numFmtId="0" fontId="0" fillId="5" borderId="0" xfId="0" applyFill="1">
      <alignment vertical="center"/>
    </xf>
    <xf numFmtId="0" fontId="3" fillId="5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8" fillId="0" borderId="2" xfId="0" quotePrefix="1" applyFont="1" applyFill="1" applyBorder="1" applyAlignment="1">
      <alignment horizontal="center" vertical="center" wrapText="1"/>
    </xf>
    <xf numFmtId="0" fontId="4" fillId="3" borderId="0" xfId="0" applyFont="1" applyFill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41" fontId="10" fillId="2" borderId="1" xfId="1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9" fillId="4" borderId="7" xfId="0" applyFont="1" applyFill="1" applyBorder="1" applyAlignment="1">
      <alignment horizontal="center" vertical="center"/>
    </xf>
    <xf numFmtId="41" fontId="17" fillId="0" borderId="1" xfId="1" applyFont="1" applyFill="1" applyBorder="1" applyAlignment="1">
      <alignment horizontal="center" vertical="center"/>
    </xf>
    <xf numFmtId="41" fontId="18" fillId="0" borderId="1" xfId="1" applyFont="1" applyFill="1" applyBorder="1" applyAlignment="1">
      <alignment horizontal="center" vertical="center"/>
    </xf>
    <xf numFmtId="41" fontId="18" fillId="0" borderId="2" xfId="1" applyFont="1" applyFill="1" applyBorder="1" applyAlignment="1">
      <alignment horizontal="center" vertical="center"/>
    </xf>
    <xf numFmtId="177" fontId="17" fillId="0" borderId="1" xfId="1" applyNumberFormat="1" applyFont="1" applyFill="1" applyBorder="1">
      <alignment vertical="center"/>
    </xf>
    <xf numFmtId="0" fontId="9" fillId="4" borderId="8" xfId="0" applyFont="1" applyFill="1" applyBorder="1" applyAlignment="1">
      <alignment horizontal="center" vertical="center"/>
    </xf>
    <xf numFmtId="41" fontId="17" fillId="0" borderId="2" xfId="1" applyFont="1" applyFill="1" applyBorder="1" applyAlignment="1">
      <alignment horizontal="center" vertical="center"/>
    </xf>
    <xf numFmtId="177" fontId="17" fillId="0" borderId="2" xfId="1" applyNumberFormat="1" applyFont="1" applyFill="1" applyBorder="1">
      <alignment vertical="center"/>
    </xf>
    <xf numFmtId="41" fontId="20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/>
    </xf>
    <xf numFmtId="41" fontId="10" fillId="2" borderId="1" xfId="0" applyNumberFormat="1" applyFont="1" applyFill="1" applyBorder="1" applyAlignment="1">
      <alignment horizontal="center" vertical="center" wrapText="1"/>
    </xf>
    <xf numFmtId="177" fontId="10" fillId="2" borderId="1" xfId="1" applyNumberFormat="1" applyFont="1" applyFill="1" applyBorder="1" applyAlignment="1">
      <alignment horizontal="center" vertical="center" wrapText="1"/>
    </xf>
    <xf numFmtId="176" fontId="10" fillId="2" borderId="1" xfId="1" applyNumberFormat="1" applyFont="1" applyFill="1" applyBorder="1" applyAlignment="1">
      <alignment horizontal="center" vertical="center" wrapText="1"/>
    </xf>
    <xf numFmtId="41" fontId="10" fillId="2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178" fontId="8" fillId="0" borderId="1" xfId="1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/>
    </xf>
    <xf numFmtId="178" fontId="10" fillId="2" borderId="1" xfId="1" applyNumberFormat="1" applyFont="1" applyFill="1" applyBorder="1" applyAlignment="1">
      <alignment horizontal="center" vertical="center" wrapText="1"/>
    </xf>
    <xf numFmtId="0" fontId="19" fillId="4" borderId="6" xfId="0" applyFont="1" applyFill="1" applyBorder="1" applyAlignment="1">
      <alignment horizontal="center" vertical="center"/>
    </xf>
    <xf numFmtId="0" fontId="19" fillId="4" borderId="7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41" fontId="7" fillId="0" borderId="1" xfId="0" applyNumberFormat="1" applyFont="1" applyFill="1" applyBorder="1" applyAlignment="1">
      <alignment horizontal="center" vertical="center"/>
    </xf>
    <xf numFmtId="177" fontId="20" fillId="0" borderId="1" xfId="1" applyNumberFormat="1" applyFont="1" applyFill="1" applyBorder="1" applyAlignment="1">
      <alignment horizontal="center" vertical="center"/>
    </xf>
    <xf numFmtId="177" fontId="18" fillId="0" borderId="1" xfId="1" applyNumberFormat="1" applyFont="1" applyFill="1" applyBorder="1">
      <alignment vertical="center"/>
    </xf>
    <xf numFmtId="0" fontId="15" fillId="0" borderId="9" xfId="0" applyFont="1" applyFill="1" applyBorder="1" applyAlignment="1">
      <alignment horizontal="center" vertical="center"/>
    </xf>
    <xf numFmtId="41" fontId="7" fillId="0" borderId="2" xfId="0" applyNumberFormat="1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177" fontId="18" fillId="0" borderId="2" xfId="1" applyNumberFormat="1" applyFont="1" applyFill="1" applyBorder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6" borderId="9" xfId="0" applyFont="1" applyFill="1" applyBorder="1" applyAlignment="1">
      <alignment horizontal="center" vertical="center"/>
    </xf>
    <xf numFmtId="41" fontId="15" fillId="6" borderId="1" xfId="1" applyFont="1" applyFill="1" applyBorder="1" applyAlignment="1">
      <alignment horizontal="center" vertical="center"/>
    </xf>
    <xf numFmtId="41" fontId="7" fillId="6" borderId="1" xfId="1" applyFont="1" applyFill="1" applyBorder="1" applyAlignment="1">
      <alignment horizontal="center" vertical="center"/>
    </xf>
    <xf numFmtId="41" fontId="7" fillId="6" borderId="2" xfId="1" applyFont="1" applyFill="1" applyBorder="1" applyAlignment="1">
      <alignment horizontal="center" vertical="center"/>
    </xf>
    <xf numFmtId="0" fontId="15" fillId="6" borderId="10" xfId="0" applyFont="1" applyFill="1" applyBorder="1" applyAlignment="1">
      <alignment horizontal="center" vertical="center"/>
    </xf>
    <xf numFmtId="41" fontId="15" fillId="6" borderId="3" xfId="1" applyFont="1" applyFill="1" applyBorder="1" applyAlignment="1">
      <alignment horizontal="center" vertical="center"/>
    </xf>
    <xf numFmtId="41" fontId="7" fillId="6" borderId="3" xfId="1" applyFont="1" applyFill="1" applyBorder="1" applyAlignment="1">
      <alignment horizontal="center" vertical="center"/>
    </xf>
    <xf numFmtId="41" fontId="7" fillId="6" borderId="11" xfId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178" fontId="8" fillId="0" borderId="3" xfId="1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49" fontId="8" fillId="5" borderId="3" xfId="0" applyNumberFormat="1" applyFont="1" applyFill="1" applyBorder="1" applyAlignment="1">
      <alignment horizontal="left" vertical="center"/>
    </xf>
    <xf numFmtId="0" fontId="5" fillId="0" borderId="3" xfId="0" applyFont="1" applyBorder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11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4" fillId="0" borderId="12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A24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48"/>
  <sheetViews>
    <sheetView tabSelected="1" view="pageBreakPreview" zoomScale="85" zoomScaleNormal="85" zoomScaleSheetLayoutView="85" workbookViewId="0">
      <selection sqref="A1:N1"/>
    </sheetView>
  </sheetViews>
  <sheetFormatPr defaultRowHeight="16.5"/>
  <cols>
    <col min="1" max="1" width="14.125" customWidth="1"/>
    <col min="2" max="2" width="10.5" bestFit="1" customWidth="1"/>
    <col min="3" max="4" width="12" bestFit="1" customWidth="1"/>
    <col min="5" max="5" width="10.375" bestFit="1" customWidth="1"/>
    <col min="6" max="6" width="9" bestFit="1" customWidth="1"/>
    <col min="7" max="7" width="8.875" customWidth="1"/>
    <col min="8" max="8" width="12.625" bestFit="1" customWidth="1"/>
    <col min="9" max="9" width="10.75" bestFit="1" customWidth="1"/>
    <col min="10" max="10" width="10.75" customWidth="1"/>
    <col min="11" max="11" width="13.25" bestFit="1" customWidth="1"/>
    <col min="12" max="12" width="13.125" customWidth="1"/>
    <col min="13" max="13" width="13.25" bestFit="1" customWidth="1"/>
    <col min="14" max="14" width="24.5" customWidth="1"/>
  </cols>
  <sheetData>
    <row r="1" spans="1:14" ht="34.5" customHeight="1">
      <c r="A1" s="67" t="s">
        <v>119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4" s="5" customFormat="1" ht="31.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4" s="8" customFormat="1" ht="21" thickBot="1">
      <c r="A3" s="68" t="s">
        <v>68</v>
      </c>
      <c r="B3" s="68"/>
      <c r="C3" s="68"/>
      <c r="D3" s="68"/>
      <c r="E3" s="68"/>
      <c r="F3" s="15"/>
      <c r="G3" s="15"/>
      <c r="H3" s="15"/>
      <c r="I3" s="14"/>
      <c r="J3" s="14"/>
      <c r="K3" s="14"/>
      <c r="L3" s="14"/>
      <c r="M3" s="14"/>
      <c r="N3" s="14"/>
    </row>
    <row r="4" spans="1:14">
      <c r="A4" s="39" t="s">
        <v>53</v>
      </c>
      <c r="B4" s="40" t="s">
        <v>0</v>
      </c>
      <c r="C4" s="17">
        <v>2013</v>
      </c>
      <c r="D4" s="17">
        <v>2014</v>
      </c>
      <c r="E4" s="17">
        <v>2015</v>
      </c>
      <c r="F4" s="17">
        <v>2016</v>
      </c>
      <c r="G4" s="17">
        <v>2017</v>
      </c>
      <c r="H4" s="17">
        <v>2018</v>
      </c>
      <c r="I4" s="17">
        <v>2019</v>
      </c>
      <c r="J4" s="17">
        <v>2020</v>
      </c>
      <c r="K4" s="17">
        <v>2021</v>
      </c>
      <c r="L4" s="17">
        <v>2022</v>
      </c>
      <c r="M4" s="17">
        <v>2023</v>
      </c>
      <c r="N4" s="22">
        <v>2024</v>
      </c>
    </row>
    <row r="5" spans="1:14" s="7" customFormat="1">
      <c r="A5" s="46" t="s">
        <v>56</v>
      </c>
      <c r="B5" s="42">
        <f>B7+B9</f>
        <v>29</v>
      </c>
      <c r="C5" s="43">
        <f>C7+C9</f>
        <v>2</v>
      </c>
      <c r="D5" s="43">
        <f t="shared" ref="D5:N5" si="0">D7+D9</f>
        <v>20</v>
      </c>
      <c r="E5" s="43">
        <f t="shared" si="0"/>
        <v>7</v>
      </c>
      <c r="F5" s="43">
        <f t="shared" si="0"/>
        <v>0</v>
      </c>
      <c r="G5" s="43">
        <f t="shared" si="0"/>
        <v>0</v>
      </c>
      <c r="H5" s="43">
        <f t="shared" si="0"/>
        <v>0</v>
      </c>
      <c r="I5" s="43">
        <f t="shared" si="0"/>
        <v>0</v>
      </c>
      <c r="J5" s="43">
        <f t="shared" si="0"/>
        <v>0</v>
      </c>
      <c r="K5" s="43">
        <f t="shared" si="0"/>
        <v>0</v>
      </c>
      <c r="L5" s="43">
        <f t="shared" si="0"/>
        <v>0</v>
      </c>
      <c r="M5" s="43">
        <f t="shared" si="0"/>
        <v>0</v>
      </c>
      <c r="N5" s="47">
        <f t="shared" si="0"/>
        <v>0</v>
      </c>
    </row>
    <row r="6" spans="1:14" s="7" customFormat="1">
      <c r="A6" s="46" t="s">
        <v>57</v>
      </c>
      <c r="B6" s="42">
        <f>B8+B10</f>
        <v>124574</v>
      </c>
      <c r="C6" s="43">
        <f>C8+C10</f>
        <v>2000</v>
      </c>
      <c r="D6" s="43">
        <f t="shared" ref="D6:N6" si="1">D8+D10</f>
        <v>112200</v>
      </c>
      <c r="E6" s="43">
        <f t="shared" si="1"/>
        <v>13029</v>
      </c>
      <c r="F6" s="43">
        <f t="shared" si="1"/>
        <v>0</v>
      </c>
      <c r="G6" s="43">
        <f t="shared" si="1"/>
        <v>0</v>
      </c>
      <c r="H6" s="43">
        <f t="shared" si="1"/>
        <v>0</v>
      </c>
      <c r="I6" s="43">
        <f t="shared" si="1"/>
        <v>0</v>
      </c>
      <c r="J6" s="43">
        <f t="shared" si="1"/>
        <v>0</v>
      </c>
      <c r="K6" s="43">
        <f t="shared" si="1"/>
        <v>0</v>
      </c>
      <c r="L6" s="43">
        <f t="shared" si="1"/>
        <v>-2655</v>
      </c>
      <c r="M6" s="43">
        <f t="shared" si="1"/>
        <v>0</v>
      </c>
      <c r="N6" s="47">
        <f t="shared" si="1"/>
        <v>0</v>
      </c>
    </row>
    <row r="7" spans="1:14" s="10" customFormat="1">
      <c r="A7" s="41" t="s">
        <v>44</v>
      </c>
      <c r="B7" s="26">
        <f>SUM(C7:N7)</f>
        <v>30</v>
      </c>
      <c r="C7" s="18">
        <f>COUNTIF($I$18:$I$48,"*2013*")</f>
        <v>2</v>
      </c>
      <c r="D7" s="18">
        <f>COUNTIF($I$18:$I$48,"*2014*")</f>
        <v>20</v>
      </c>
      <c r="E7" s="18">
        <f>COUNTIF($I$18:$I$48,"*2015*")</f>
        <v>7</v>
      </c>
      <c r="F7" s="18">
        <f>COUNTIF($I$18:$I$48,"*2016*")</f>
        <v>0</v>
      </c>
      <c r="G7" s="18">
        <f>COUNTIF($I$18:$I$48,"*2017*")</f>
        <v>0</v>
      </c>
      <c r="H7" s="18">
        <f>COUNTIF($I$18:$I$48,"*2018*")</f>
        <v>0</v>
      </c>
      <c r="I7" s="18">
        <f>COUNTIF($I$18:$I$48,"*2019*")</f>
        <v>0</v>
      </c>
      <c r="J7" s="18">
        <f>COUNTIF($I$18:$I$48,"*2020*")</f>
        <v>0</v>
      </c>
      <c r="K7" s="18">
        <f>COUNTIF($I$18:$I$48,"*2021*")</f>
        <v>0</v>
      </c>
      <c r="L7" s="18">
        <f>COUNTIF($I$18:$I$48,"*2022*")</f>
        <v>1</v>
      </c>
      <c r="M7" s="18">
        <f>COUNTIF($I$18:$I$48,"*2023*")</f>
        <v>0</v>
      </c>
      <c r="N7" s="23">
        <f>COUNTIF($I$18:$I$48,"*2024*")</f>
        <v>0</v>
      </c>
    </row>
    <row r="8" spans="1:14" s="10" customFormat="1">
      <c r="A8" s="41" t="s">
        <v>45</v>
      </c>
      <c r="B8" s="26">
        <f>SUM(C8:N8)</f>
        <v>128074</v>
      </c>
      <c r="C8" s="21">
        <f>SUMIF($I$18:$I$48,"*2013*",$H$18:$H$48)</f>
        <v>2000</v>
      </c>
      <c r="D8" s="21">
        <f>SUMIF($I$18:$I$48,"*2014*",$H$18:$H$48)</f>
        <v>112200</v>
      </c>
      <c r="E8" s="21">
        <f>SUMIF($I$18:$I$48,"*2015*",$H$18:$H$48)</f>
        <v>13029</v>
      </c>
      <c r="F8" s="21">
        <f>SUMIF($I$18:$I$48,"*2016*",$H$18:$H$48)</f>
        <v>0</v>
      </c>
      <c r="G8" s="21">
        <f>SUMIF($I$18:$I$48,"*2017*",$H$18:$H$48)</f>
        <v>0</v>
      </c>
      <c r="H8" s="21">
        <f>SUMIF($I$18:$I$48,"*2018*",$H$18:$H$48)</f>
        <v>0</v>
      </c>
      <c r="I8" s="21">
        <f>SUMIF($I$18:$I$48,"*2019*",$H$18:$H$48)</f>
        <v>0</v>
      </c>
      <c r="J8" s="21">
        <f>SUMIF($I$18:$I$48,"*2020*",$H$18:$H$48)</f>
        <v>0</v>
      </c>
      <c r="K8" s="21">
        <f>SUMIF($I$18:$I$48,"*2021*",$H$18:$H$48)</f>
        <v>0</v>
      </c>
      <c r="L8" s="21">
        <f>SUMIF($I$18:$I$48,"*2022*",$H$18:$H$48)</f>
        <v>845</v>
      </c>
      <c r="M8" s="21">
        <f>SUMIF($I$18:$I$48,"*2023*",$H$18:$H$48)</f>
        <v>0</v>
      </c>
      <c r="N8" s="24">
        <f>SUMIF($I$18:$I$48,"*2024*",$H$18:$H$48)</f>
        <v>0</v>
      </c>
    </row>
    <row r="9" spans="1:14">
      <c r="A9" s="48" t="s">
        <v>47</v>
      </c>
      <c r="B9" s="25">
        <f>SUM(C9:N9)</f>
        <v>-1</v>
      </c>
      <c r="C9" s="19">
        <f>COUNTIF($J$18:$J$48,"*2013*")</f>
        <v>0</v>
      </c>
      <c r="D9" s="19">
        <f>COUNTIF($J$18:$J$48,"*2014*")</f>
        <v>0</v>
      </c>
      <c r="E9" s="19">
        <f>COUNTIF($J$18:$J$48,"*2015*")</f>
        <v>0</v>
      </c>
      <c r="F9" s="19">
        <f>COUNTIF($J$18:$J$48,"*2016*")</f>
        <v>0</v>
      </c>
      <c r="G9" s="19">
        <f>COUNTIF($J$18:$J$48,"*2017*")</f>
        <v>0</v>
      </c>
      <c r="H9" s="19">
        <f>-COUNTIF($J$18:$J$48,"*2018*")</f>
        <v>0</v>
      </c>
      <c r="I9" s="19">
        <f>-COUNTIF($J$18:$J$48,"*2019*")</f>
        <v>0</v>
      </c>
      <c r="J9" s="19">
        <f>COUNTIF($J$18:$J$48,"*2020*")</f>
        <v>0</v>
      </c>
      <c r="K9" s="19">
        <f>-COUNTIF($J$18:$J$48,"*2021*")</f>
        <v>0</v>
      </c>
      <c r="L9" s="19">
        <f>-COUNTIF($J$18:$J$48,"*2022*")</f>
        <v>-1</v>
      </c>
      <c r="M9" s="19">
        <f>COUNTIF($J$18:$J$48,"*2023*")</f>
        <v>0</v>
      </c>
      <c r="N9" s="20">
        <f>COUNTIF($J$18:$J$48,"*2024*")</f>
        <v>0</v>
      </c>
    </row>
    <row r="10" spans="1:14">
      <c r="A10" s="48" t="s">
        <v>48</v>
      </c>
      <c r="B10" s="44">
        <f>SUM(C10:N10)</f>
        <v>-3500</v>
      </c>
      <c r="C10" s="45">
        <f>SUMIF($J$18:$J$48,"*2013*",$H$18:$H$48)</f>
        <v>0</v>
      </c>
      <c r="D10" s="45">
        <f>SUMIF($J$18:$J$48,"*2014*",$H$18:$H$48)</f>
        <v>0</v>
      </c>
      <c r="E10" s="45">
        <f>SUMIF($J$18:$J$48,"*2015*",$H$18:$H$48)</f>
        <v>0</v>
      </c>
      <c r="F10" s="45">
        <f>SUMIF($J$18:$J$48,"*2016*",$H$18:$H$48)</f>
        <v>0</v>
      </c>
      <c r="G10" s="45">
        <f>SUMIF($J$18:$J$48,"*2017*",$H$18:$H$48)</f>
        <v>0</v>
      </c>
      <c r="H10" s="45">
        <f>-SUMIF($J$18:$J$48,"*2018*",$H$18:$H$48)</f>
        <v>0</v>
      </c>
      <c r="I10" s="45">
        <f>-SUMIF($J$18:$J$48,"*2019*",$H$18:$H$48)</f>
        <v>0</v>
      </c>
      <c r="J10" s="45">
        <f>SUMIF($J$18:$J$48,"*2020*",$H$18:$H$48)</f>
        <v>0</v>
      </c>
      <c r="K10" s="45">
        <f>-SUMIF($J$18:$J$48,"*2021*",$H$18:$H$48)</f>
        <v>0</v>
      </c>
      <c r="L10" s="45">
        <f>-SUMIF($J$18:$J$48,"*2022*",$H$18:$H$48)</f>
        <v>-3500</v>
      </c>
      <c r="M10" s="45">
        <f>SUMIF($J$18:$J$48,"*2023*",$H$18:$H$48)</f>
        <v>0</v>
      </c>
      <c r="N10" s="49">
        <f>SUMIF($J$18:$J$48,"*2024*",$H$18:$H$48)</f>
        <v>0</v>
      </c>
    </row>
    <row r="11" spans="1:14">
      <c r="A11" s="51" t="s">
        <v>117</v>
      </c>
      <c r="B11" s="52">
        <f>SUM(C11:N11)</f>
        <v>19</v>
      </c>
      <c r="C11" s="53">
        <f>COUNTIF($K$18:$K$46,"2013")</f>
        <v>1</v>
      </c>
      <c r="D11" s="53">
        <f>COUNTIF($K$18:$K$46,"2014")</f>
        <v>2</v>
      </c>
      <c r="E11" s="53">
        <f>COUNTIF($K$18:$K$46,"2015")</f>
        <v>4</v>
      </c>
      <c r="F11" s="53">
        <f>COUNTIF($K$18:$K$46,"2016")</f>
        <v>5</v>
      </c>
      <c r="G11" s="53">
        <f>COUNTIF($K$18:$K$46,"2017")</f>
        <v>1</v>
      </c>
      <c r="H11" s="53">
        <f>COUNTIF($K$18:$K$46,"2018")</f>
        <v>2</v>
      </c>
      <c r="I11" s="53">
        <f>COUNTIF($K$18:$K$46,"2019")</f>
        <v>1</v>
      </c>
      <c r="J11" s="53">
        <f>COUNTIF($K$18:$K$46,"2020")</f>
        <v>1</v>
      </c>
      <c r="K11" s="53">
        <f>COUNTIF($K$18:$K$46,"2021")</f>
        <v>1</v>
      </c>
      <c r="L11" s="53">
        <f>COUNTIF($K$18:$K46,"2022")</f>
        <v>1</v>
      </c>
      <c r="M11" s="53">
        <f>COUNTIF($K$18:$K$46,"2023")</f>
        <v>0</v>
      </c>
      <c r="N11" s="54"/>
    </row>
    <row r="12" spans="1:14" ht="17.25" thickBot="1">
      <c r="A12" s="55" t="s">
        <v>118</v>
      </c>
      <c r="B12" s="56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8"/>
    </row>
    <row r="13" spans="1:14">
      <c r="B13" s="2"/>
      <c r="C13" s="4"/>
      <c r="D13" s="1"/>
      <c r="E13" s="3"/>
      <c r="F13" s="1"/>
      <c r="G13" s="1"/>
      <c r="H13" s="3"/>
      <c r="I13" s="1"/>
      <c r="J13" s="1"/>
      <c r="K13" s="3"/>
      <c r="L13" s="3"/>
      <c r="M13" s="1"/>
    </row>
    <row r="14" spans="1:14" s="8" customFormat="1" ht="21" thickBot="1">
      <c r="A14" s="69" t="s">
        <v>69</v>
      </c>
      <c r="B14" s="69"/>
      <c r="C14" s="69"/>
      <c r="D14" s="69"/>
      <c r="E14" s="69"/>
      <c r="F14" s="16"/>
      <c r="G14" s="16"/>
      <c r="H14" s="16"/>
      <c r="I14" s="14"/>
      <c r="J14" s="14"/>
      <c r="K14" s="14"/>
      <c r="L14" s="14"/>
      <c r="M14" s="14"/>
      <c r="N14" s="14"/>
    </row>
    <row r="15" spans="1:14">
      <c r="A15" s="70" t="s">
        <v>53</v>
      </c>
      <c r="B15" s="71" t="s">
        <v>46</v>
      </c>
      <c r="C15" s="71" t="s">
        <v>1</v>
      </c>
      <c r="D15" s="71"/>
      <c r="E15" s="71"/>
      <c r="F15" s="73" t="s">
        <v>58</v>
      </c>
      <c r="G15" s="74"/>
      <c r="H15" s="71" t="s">
        <v>84</v>
      </c>
      <c r="I15" s="71"/>
      <c r="J15" s="71"/>
      <c r="K15" s="71" t="s">
        <v>61</v>
      </c>
      <c r="L15" s="71"/>
      <c r="M15" s="71"/>
      <c r="N15" s="75" t="s">
        <v>77</v>
      </c>
    </row>
    <row r="16" spans="1:14" ht="16.5" customHeight="1">
      <c r="A16" s="66"/>
      <c r="B16" s="72"/>
      <c r="C16" s="50" t="s">
        <v>40</v>
      </c>
      <c r="D16" s="50" t="s">
        <v>41</v>
      </c>
      <c r="E16" s="50" t="s">
        <v>55</v>
      </c>
      <c r="F16" s="50" t="s">
        <v>42</v>
      </c>
      <c r="G16" s="50" t="s">
        <v>43</v>
      </c>
      <c r="H16" s="50" t="s">
        <v>59</v>
      </c>
      <c r="I16" s="50" t="s">
        <v>60</v>
      </c>
      <c r="J16" s="50" t="s">
        <v>65</v>
      </c>
      <c r="K16" s="50" t="s">
        <v>62</v>
      </c>
      <c r="L16" s="50" t="s">
        <v>63</v>
      </c>
      <c r="M16" s="50" t="s">
        <v>64</v>
      </c>
      <c r="N16" s="76"/>
    </row>
    <row r="17" spans="1:14">
      <c r="A17" s="13" t="s">
        <v>66</v>
      </c>
      <c r="B17" s="11">
        <f>COUNTA(B18:B46)</f>
        <v>29</v>
      </c>
      <c r="C17" s="11"/>
      <c r="D17" s="11"/>
      <c r="E17" s="27"/>
      <c r="F17" s="11">
        <f>COUNTA(F18:F46)</f>
        <v>28</v>
      </c>
      <c r="G17" s="11">
        <f>COUNTA(G18:G46)</f>
        <v>1</v>
      </c>
      <c r="H17" s="28">
        <f>SUM(H18:H46)</f>
        <v>124574</v>
      </c>
      <c r="I17" s="11"/>
      <c r="J17" s="11"/>
      <c r="K17" s="12"/>
      <c r="L17" s="12"/>
      <c r="M17" s="29"/>
      <c r="N17" s="30"/>
    </row>
    <row r="18" spans="1:14" ht="27">
      <c r="A18" s="66" t="s">
        <v>54</v>
      </c>
      <c r="B18" s="37" t="s">
        <v>98</v>
      </c>
      <c r="C18" s="35" t="s">
        <v>32</v>
      </c>
      <c r="D18" s="50"/>
      <c r="E18" s="35" t="s">
        <v>33</v>
      </c>
      <c r="F18" s="50">
        <v>0</v>
      </c>
      <c r="G18" s="50"/>
      <c r="H18" s="35">
        <v>1000</v>
      </c>
      <c r="I18" s="35" t="s">
        <v>96</v>
      </c>
      <c r="J18" s="31">
        <v>2023</v>
      </c>
      <c r="K18" s="50">
        <v>2014</v>
      </c>
      <c r="L18" s="31" t="s">
        <v>106</v>
      </c>
      <c r="M18" s="31" t="s">
        <v>107</v>
      </c>
      <c r="N18" s="9" t="s">
        <v>114</v>
      </c>
    </row>
    <row r="19" spans="1:14">
      <c r="A19" s="66"/>
      <c r="B19" s="36" t="s">
        <v>99</v>
      </c>
      <c r="C19" s="35" t="s">
        <v>30</v>
      </c>
      <c r="D19" s="50"/>
      <c r="E19" s="35" t="s">
        <v>34</v>
      </c>
      <c r="F19" s="50">
        <v>0</v>
      </c>
      <c r="G19" s="50"/>
      <c r="H19" s="35">
        <v>1000</v>
      </c>
      <c r="I19" s="35" t="s">
        <v>96</v>
      </c>
      <c r="J19" s="31">
        <v>2024</v>
      </c>
      <c r="K19" s="50">
        <v>2014</v>
      </c>
      <c r="L19" s="31" t="s">
        <v>106</v>
      </c>
      <c r="M19" s="31" t="s">
        <v>107</v>
      </c>
      <c r="N19" s="9"/>
    </row>
    <row r="20" spans="1:14">
      <c r="A20" s="66"/>
      <c r="B20" s="36" t="s">
        <v>75</v>
      </c>
      <c r="C20" s="35" t="s">
        <v>21</v>
      </c>
      <c r="D20" s="50"/>
      <c r="E20" s="35" t="s">
        <v>22</v>
      </c>
      <c r="F20" s="50">
        <v>0</v>
      </c>
      <c r="G20" s="33"/>
      <c r="H20" s="35">
        <v>5800</v>
      </c>
      <c r="I20" s="35" t="s">
        <v>91</v>
      </c>
      <c r="J20" s="31">
        <v>2025</v>
      </c>
      <c r="K20" s="50">
        <v>2019</v>
      </c>
      <c r="L20" s="31" t="s">
        <v>106</v>
      </c>
      <c r="M20" s="31" t="s">
        <v>107</v>
      </c>
      <c r="N20" s="9"/>
    </row>
    <row r="21" spans="1:14" ht="27">
      <c r="A21" s="66"/>
      <c r="B21" s="36" t="s">
        <v>52</v>
      </c>
      <c r="C21" s="35" t="s">
        <v>23</v>
      </c>
      <c r="D21" s="50"/>
      <c r="E21" s="35" t="s">
        <v>24</v>
      </c>
      <c r="F21" s="50">
        <v>0</v>
      </c>
      <c r="G21" s="33"/>
      <c r="H21" s="35">
        <v>5400</v>
      </c>
      <c r="I21" s="35" t="s">
        <v>91</v>
      </c>
      <c r="J21" s="31">
        <v>2023</v>
      </c>
      <c r="K21" s="50">
        <v>2020</v>
      </c>
      <c r="L21" s="31" t="s">
        <v>106</v>
      </c>
      <c r="M21" s="31" t="s">
        <v>108</v>
      </c>
      <c r="N21" s="9" t="s">
        <v>114</v>
      </c>
    </row>
    <row r="22" spans="1:14">
      <c r="A22" s="66"/>
      <c r="B22" s="37" t="s">
        <v>76</v>
      </c>
      <c r="C22" s="35" t="s">
        <v>6</v>
      </c>
      <c r="D22" s="50"/>
      <c r="E22" s="35" t="s">
        <v>7</v>
      </c>
      <c r="F22" s="50">
        <v>0</v>
      </c>
      <c r="G22" s="50"/>
      <c r="H22" s="35">
        <v>8600</v>
      </c>
      <c r="I22" s="35" t="s">
        <v>91</v>
      </c>
      <c r="J22" s="31">
        <v>2025</v>
      </c>
      <c r="K22" s="50">
        <v>2016</v>
      </c>
      <c r="L22" s="31" t="s">
        <v>106</v>
      </c>
      <c r="M22" s="31" t="s">
        <v>109</v>
      </c>
      <c r="N22" s="9"/>
    </row>
    <row r="23" spans="1:14">
      <c r="A23" s="66"/>
      <c r="B23" s="36" t="s">
        <v>78</v>
      </c>
      <c r="C23" s="35" t="s">
        <v>3</v>
      </c>
      <c r="D23" s="50"/>
      <c r="E23" s="35" t="s">
        <v>4</v>
      </c>
      <c r="F23" s="50">
        <v>0</v>
      </c>
      <c r="G23" s="50"/>
      <c r="H23" s="35">
        <v>4800</v>
      </c>
      <c r="I23" s="35" t="s">
        <v>91</v>
      </c>
      <c r="J23" s="31">
        <v>2024</v>
      </c>
      <c r="K23" s="50">
        <v>2015</v>
      </c>
      <c r="L23" s="31" t="s">
        <v>106</v>
      </c>
      <c r="M23" s="31" t="s">
        <v>110</v>
      </c>
      <c r="N23" s="9"/>
    </row>
    <row r="24" spans="1:14">
      <c r="A24" s="66"/>
      <c r="B24" s="36" t="s">
        <v>71</v>
      </c>
      <c r="C24" s="35" t="s">
        <v>28</v>
      </c>
      <c r="D24" s="50"/>
      <c r="E24" s="35" t="s">
        <v>29</v>
      </c>
      <c r="F24" s="50">
        <v>0</v>
      </c>
      <c r="G24" s="50"/>
      <c r="H24" s="35">
        <v>8600</v>
      </c>
      <c r="I24" s="35" t="s">
        <v>91</v>
      </c>
      <c r="J24" s="31">
        <v>2025</v>
      </c>
      <c r="K24" s="50">
        <v>2015</v>
      </c>
      <c r="L24" s="31" t="s">
        <v>106</v>
      </c>
      <c r="M24" s="31" t="s">
        <v>111</v>
      </c>
      <c r="N24" s="9"/>
    </row>
    <row r="25" spans="1:14">
      <c r="A25" s="66"/>
      <c r="B25" s="36" t="s">
        <v>79</v>
      </c>
      <c r="C25" s="35" t="s">
        <v>11</v>
      </c>
      <c r="D25" s="50"/>
      <c r="E25" s="35" t="s">
        <v>13</v>
      </c>
      <c r="F25" s="50">
        <v>0</v>
      </c>
      <c r="G25" s="33"/>
      <c r="H25" s="35">
        <v>4900</v>
      </c>
      <c r="I25" s="35" t="s">
        <v>91</v>
      </c>
      <c r="J25" s="31">
        <v>2028</v>
      </c>
      <c r="K25" s="50">
        <v>2022</v>
      </c>
      <c r="L25" s="31" t="s">
        <v>106</v>
      </c>
      <c r="M25" s="31" t="s">
        <v>107</v>
      </c>
      <c r="N25" s="9"/>
    </row>
    <row r="26" spans="1:14" ht="27">
      <c r="A26" s="66"/>
      <c r="B26" s="36" t="s">
        <v>80</v>
      </c>
      <c r="C26" s="35" t="s">
        <v>3</v>
      </c>
      <c r="D26" s="50"/>
      <c r="E26" s="35" t="s">
        <v>5</v>
      </c>
      <c r="F26" s="50">
        <v>0</v>
      </c>
      <c r="G26" s="33"/>
      <c r="H26" s="35">
        <v>4700</v>
      </c>
      <c r="I26" s="35" t="s">
        <v>91</v>
      </c>
      <c r="J26" s="31">
        <v>2023</v>
      </c>
      <c r="K26" s="50">
        <v>2015</v>
      </c>
      <c r="L26" s="31" t="s">
        <v>106</v>
      </c>
      <c r="M26" s="31" t="s">
        <v>112</v>
      </c>
      <c r="N26" s="9" t="s">
        <v>114</v>
      </c>
    </row>
    <row r="27" spans="1:14" ht="27">
      <c r="A27" s="66"/>
      <c r="B27" s="36" t="s">
        <v>81</v>
      </c>
      <c r="C27" s="35" t="s">
        <v>3</v>
      </c>
      <c r="D27" s="50"/>
      <c r="E27" s="35" t="s">
        <v>8</v>
      </c>
      <c r="F27" s="50">
        <v>0</v>
      </c>
      <c r="G27" s="50"/>
      <c r="H27" s="35">
        <v>4600</v>
      </c>
      <c r="I27" s="35" t="s">
        <v>91</v>
      </c>
      <c r="J27" s="31">
        <v>2024</v>
      </c>
      <c r="K27" s="50"/>
      <c r="L27" s="31"/>
      <c r="M27" s="31"/>
      <c r="N27" s="9" t="s">
        <v>115</v>
      </c>
    </row>
    <row r="28" spans="1:14" ht="27">
      <c r="A28" s="66"/>
      <c r="B28" s="36" t="s">
        <v>50</v>
      </c>
      <c r="C28" s="35" t="s">
        <v>9</v>
      </c>
      <c r="D28" s="50"/>
      <c r="E28" s="35" t="s">
        <v>10</v>
      </c>
      <c r="F28" s="50">
        <v>0</v>
      </c>
      <c r="G28" s="33"/>
      <c r="H28" s="35">
        <v>5600</v>
      </c>
      <c r="I28" s="35" t="s">
        <v>91</v>
      </c>
      <c r="J28" s="31">
        <v>2024</v>
      </c>
      <c r="K28" s="50"/>
      <c r="L28" s="31"/>
      <c r="M28" s="31"/>
      <c r="N28" s="9" t="s">
        <v>115</v>
      </c>
    </row>
    <row r="29" spans="1:14" ht="27">
      <c r="A29" s="66"/>
      <c r="B29" s="36" t="s">
        <v>73</v>
      </c>
      <c r="C29" s="35" t="s">
        <v>26</v>
      </c>
      <c r="D29" s="50"/>
      <c r="E29" s="35" t="s">
        <v>93</v>
      </c>
      <c r="F29" s="50">
        <v>0</v>
      </c>
      <c r="G29" s="33"/>
      <c r="H29" s="35">
        <v>7500</v>
      </c>
      <c r="I29" s="35" t="s">
        <v>91</v>
      </c>
      <c r="J29" s="31">
        <v>2023</v>
      </c>
      <c r="K29" s="50">
        <v>2015</v>
      </c>
      <c r="L29" s="31" t="s">
        <v>106</v>
      </c>
      <c r="M29" s="31" t="s">
        <v>113</v>
      </c>
      <c r="N29" s="9" t="s">
        <v>114</v>
      </c>
    </row>
    <row r="30" spans="1:14" ht="27">
      <c r="A30" s="66"/>
      <c r="B30" s="36" t="s">
        <v>49</v>
      </c>
      <c r="C30" s="35" t="s">
        <v>23</v>
      </c>
      <c r="D30" s="50"/>
      <c r="E30" s="35" t="s">
        <v>25</v>
      </c>
      <c r="F30" s="50">
        <v>0</v>
      </c>
      <c r="G30" s="33"/>
      <c r="H30" s="35">
        <v>3800</v>
      </c>
      <c r="I30" s="35" t="s">
        <v>91</v>
      </c>
      <c r="J30" s="31">
        <v>2023</v>
      </c>
      <c r="K30" s="50">
        <v>2017</v>
      </c>
      <c r="L30" s="31" t="s">
        <v>106</v>
      </c>
      <c r="M30" s="31" t="s">
        <v>107</v>
      </c>
      <c r="N30" s="9" t="s">
        <v>114</v>
      </c>
    </row>
    <row r="31" spans="1:14" ht="27">
      <c r="A31" s="66"/>
      <c r="B31" s="36" t="s">
        <v>82</v>
      </c>
      <c r="C31" s="35" t="s">
        <v>26</v>
      </c>
      <c r="D31" s="50"/>
      <c r="E31" s="35" t="s">
        <v>27</v>
      </c>
      <c r="F31" s="50">
        <v>0</v>
      </c>
      <c r="G31" s="33"/>
      <c r="H31" s="35">
        <v>3200</v>
      </c>
      <c r="I31" s="35" t="s">
        <v>91</v>
      </c>
      <c r="J31" s="31">
        <v>2023</v>
      </c>
      <c r="K31" s="50">
        <v>2018</v>
      </c>
      <c r="L31" s="31" t="s">
        <v>106</v>
      </c>
      <c r="M31" s="31" t="s">
        <v>108</v>
      </c>
      <c r="N31" s="9" t="s">
        <v>114</v>
      </c>
    </row>
    <row r="32" spans="1:14">
      <c r="A32" s="66"/>
      <c r="B32" s="36" t="s">
        <v>83</v>
      </c>
      <c r="C32" s="35" t="s">
        <v>30</v>
      </c>
      <c r="D32" s="50"/>
      <c r="E32" s="35" t="s">
        <v>31</v>
      </c>
      <c r="F32" s="34">
        <v>0</v>
      </c>
      <c r="G32" s="50"/>
      <c r="H32" s="35">
        <v>10600</v>
      </c>
      <c r="I32" s="35" t="s">
        <v>91</v>
      </c>
      <c r="J32" s="31">
        <v>2024</v>
      </c>
      <c r="K32" s="50">
        <v>2013</v>
      </c>
      <c r="L32" s="31" t="s">
        <v>106</v>
      </c>
      <c r="M32" s="31" t="s">
        <v>107</v>
      </c>
      <c r="N32" s="9"/>
    </row>
    <row r="33" spans="1:14">
      <c r="A33" s="66"/>
      <c r="B33" s="36" t="s">
        <v>86</v>
      </c>
      <c r="C33" s="35" t="s">
        <v>14</v>
      </c>
      <c r="D33" s="50"/>
      <c r="E33" s="35" t="s">
        <v>18</v>
      </c>
      <c r="F33" s="50">
        <v>0</v>
      </c>
      <c r="G33" s="50"/>
      <c r="H33" s="35">
        <v>5500</v>
      </c>
      <c r="I33" s="35" t="s">
        <v>91</v>
      </c>
      <c r="J33" s="31">
        <v>2025</v>
      </c>
      <c r="K33" s="50"/>
      <c r="L33" s="31"/>
      <c r="M33" s="31"/>
      <c r="N33" s="9" t="s">
        <v>116</v>
      </c>
    </row>
    <row r="34" spans="1:14">
      <c r="A34" s="66"/>
      <c r="B34" s="36" t="s">
        <v>90</v>
      </c>
      <c r="C34" s="35" t="s">
        <v>11</v>
      </c>
      <c r="D34" s="50"/>
      <c r="E34" s="35" t="s">
        <v>12</v>
      </c>
      <c r="F34" s="50">
        <v>0</v>
      </c>
      <c r="G34" s="33"/>
      <c r="H34" s="35">
        <v>4600</v>
      </c>
      <c r="I34" s="35" t="s">
        <v>91</v>
      </c>
      <c r="J34" s="31">
        <v>2025</v>
      </c>
      <c r="K34" s="50"/>
      <c r="L34" s="31"/>
      <c r="M34" s="31"/>
      <c r="N34" s="9" t="s">
        <v>116</v>
      </c>
    </row>
    <row r="35" spans="1:14">
      <c r="A35" s="66"/>
      <c r="B35" s="36" t="s">
        <v>85</v>
      </c>
      <c r="C35" s="35" t="s">
        <v>14</v>
      </c>
      <c r="D35" s="50"/>
      <c r="E35" s="35" t="s">
        <v>19</v>
      </c>
      <c r="F35" s="50">
        <v>0</v>
      </c>
      <c r="G35" s="50"/>
      <c r="H35" s="35">
        <v>4600</v>
      </c>
      <c r="I35" s="35" t="s">
        <v>91</v>
      </c>
      <c r="J35" s="31">
        <v>2025</v>
      </c>
      <c r="K35" s="50"/>
      <c r="L35" s="31"/>
      <c r="M35" s="31"/>
      <c r="N35" s="9" t="s">
        <v>116</v>
      </c>
    </row>
    <row r="36" spans="1:14">
      <c r="A36" s="66"/>
      <c r="B36" s="36" t="s">
        <v>88</v>
      </c>
      <c r="C36" s="35" t="s">
        <v>14</v>
      </c>
      <c r="D36" s="50"/>
      <c r="E36" s="35" t="s">
        <v>20</v>
      </c>
      <c r="F36" s="50">
        <v>0</v>
      </c>
      <c r="G36" s="50"/>
      <c r="H36" s="35">
        <v>5600</v>
      </c>
      <c r="I36" s="35" t="s">
        <v>91</v>
      </c>
      <c r="J36" s="31">
        <v>2025</v>
      </c>
      <c r="K36" s="50"/>
      <c r="L36" s="31"/>
      <c r="M36" s="31"/>
      <c r="N36" s="9" t="s">
        <v>116</v>
      </c>
    </row>
    <row r="37" spans="1:14">
      <c r="A37" s="66"/>
      <c r="B37" s="36" t="s">
        <v>87</v>
      </c>
      <c r="C37" s="35" t="s">
        <v>14</v>
      </c>
      <c r="D37" s="50"/>
      <c r="E37" s="35" t="s">
        <v>16</v>
      </c>
      <c r="F37" s="50">
        <v>0</v>
      </c>
      <c r="G37" s="33"/>
      <c r="H37" s="35">
        <v>6500</v>
      </c>
      <c r="I37" s="35" t="s">
        <v>91</v>
      </c>
      <c r="J37" s="31">
        <v>2025</v>
      </c>
      <c r="K37" s="50"/>
      <c r="L37" s="31"/>
      <c r="M37" s="31"/>
      <c r="N37" s="9" t="s">
        <v>116</v>
      </c>
    </row>
    <row r="38" spans="1:14" ht="17.25" customHeight="1">
      <c r="A38" s="66"/>
      <c r="B38" s="36" t="s">
        <v>100</v>
      </c>
      <c r="C38" s="35" t="s">
        <v>14</v>
      </c>
      <c r="D38" s="50"/>
      <c r="E38" s="35" t="s">
        <v>15</v>
      </c>
      <c r="F38" s="50">
        <v>0</v>
      </c>
      <c r="G38" s="33"/>
      <c r="H38" s="35">
        <v>3800</v>
      </c>
      <c r="I38" s="35" t="s">
        <v>91</v>
      </c>
      <c r="J38" s="31">
        <v>2025</v>
      </c>
      <c r="K38" s="50"/>
      <c r="L38" s="31"/>
      <c r="M38" s="31"/>
      <c r="N38" s="9" t="s">
        <v>116</v>
      </c>
    </row>
    <row r="39" spans="1:14" ht="27">
      <c r="A39" s="66"/>
      <c r="B39" s="36" t="s">
        <v>51</v>
      </c>
      <c r="C39" s="35" t="s">
        <v>36</v>
      </c>
      <c r="D39" s="50"/>
      <c r="E39" s="35" t="s">
        <v>25</v>
      </c>
      <c r="F39" s="50">
        <v>0</v>
      </c>
      <c r="G39" s="50"/>
      <c r="H39" s="35">
        <v>2182</v>
      </c>
      <c r="I39" s="35" t="s">
        <v>89</v>
      </c>
      <c r="J39" s="31">
        <v>2023</v>
      </c>
      <c r="K39" s="50">
        <v>2018</v>
      </c>
      <c r="L39" s="31" t="s">
        <v>106</v>
      </c>
      <c r="M39" s="31" t="s">
        <v>108</v>
      </c>
      <c r="N39" s="9" t="s">
        <v>114</v>
      </c>
    </row>
    <row r="40" spans="1:14" ht="27">
      <c r="A40" s="66"/>
      <c r="B40" s="36" t="s">
        <v>74</v>
      </c>
      <c r="C40" s="35" t="s">
        <v>6</v>
      </c>
      <c r="D40" s="50"/>
      <c r="E40" s="35" t="s">
        <v>35</v>
      </c>
      <c r="F40" s="34">
        <v>0</v>
      </c>
      <c r="G40" s="50"/>
      <c r="H40" s="35">
        <v>2768</v>
      </c>
      <c r="I40" s="35" t="s">
        <v>89</v>
      </c>
      <c r="J40" s="31">
        <v>2023</v>
      </c>
      <c r="K40" s="50">
        <v>2021</v>
      </c>
      <c r="L40" s="31" t="s">
        <v>106</v>
      </c>
      <c r="M40" s="31" t="s">
        <v>108</v>
      </c>
      <c r="N40" s="9" t="s">
        <v>114</v>
      </c>
    </row>
    <row r="41" spans="1:14" ht="15" customHeight="1">
      <c r="A41" s="66"/>
      <c r="B41" s="36" t="s">
        <v>70</v>
      </c>
      <c r="C41" s="35" t="s">
        <v>11</v>
      </c>
      <c r="D41" s="50"/>
      <c r="E41" s="35" t="s">
        <v>94</v>
      </c>
      <c r="F41" s="34">
        <v>0</v>
      </c>
      <c r="G41" s="50"/>
      <c r="H41" s="35">
        <v>1834</v>
      </c>
      <c r="I41" s="35" t="s">
        <v>89</v>
      </c>
      <c r="J41" s="31">
        <v>2025</v>
      </c>
      <c r="K41" s="50">
        <v>2016</v>
      </c>
      <c r="L41" s="31" t="s">
        <v>106</v>
      </c>
      <c r="M41" s="31" t="s">
        <v>109</v>
      </c>
      <c r="N41" s="9"/>
    </row>
    <row r="42" spans="1:14">
      <c r="A42" s="66"/>
      <c r="B42" s="36" t="s">
        <v>101</v>
      </c>
      <c r="C42" s="35" t="s">
        <v>11</v>
      </c>
      <c r="D42" s="50"/>
      <c r="E42" s="35" t="s">
        <v>2</v>
      </c>
      <c r="F42" s="34">
        <v>0</v>
      </c>
      <c r="G42" s="50"/>
      <c r="H42" s="35">
        <v>2341</v>
      </c>
      <c r="I42" s="35" t="s">
        <v>89</v>
      </c>
      <c r="J42" s="31">
        <v>2025</v>
      </c>
      <c r="K42" s="50">
        <v>2016</v>
      </c>
      <c r="L42" s="31" t="s">
        <v>106</v>
      </c>
      <c r="M42" s="31" t="s">
        <v>109</v>
      </c>
      <c r="N42" s="9"/>
    </row>
    <row r="43" spans="1:14" ht="27">
      <c r="A43" s="66"/>
      <c r="B43" s="36" t="s">
        <v>103</v>
      </c>
      <c r="C43" s="35" t="s">
        <v>36</v>
      </c>
      <c r="D43" s="50"/>
      <c r="E43" s="35" t="s">
        <v>38</v>
      </c>
      <c r="F43" s="50">
        <v>0</v>
      </c>
      <c r="G43" s="50"/>
      <c r="H43" s="35">
        <v>946</v>
      </c>
      <c r="I43" s="35" t="s">
        <v>89</v>
      </c>
      <c r="J43" s="31">
        <v>2024</v>
      </c>
      <c r="K43" s="50"/>
      <c r="L43" s="31"/>
      <c r="M43" s="31"/>
      <c r="N43" s="9" t="s">
        <v>115</v>
      </c>
    </row>
    <row r="44" spans="1:14" ht="27">
      <c r="A44" s="66"/>
      <c r="B44" s="36" t="s">
        <v>102</v>
      </c>
      <c r="C44" s="35" t="s">
        <v>28</v>
      </c>
      <c r="D44" s="50"/>
      <c r="E44" s="35" t="s">
        <v>39</v>
      </c>
      <c r="F44" s="50">
        <v>0</v>
      </c>
      <c r="G44" s="50"/>
      <c r="H44" s="35">
        <v>1320</v>
      </c>
      <c r="I44" s="35" t="s">
        <v>89</v>
      </c>
      <c r="J44" s="31">
        <v>2023</v>
      </c>
      <c r="K44" s="50">
        <v>2016</v>
      </c>
      <c r="L44" s="31" t="s">
        <v>106</v>
      </c>
      <c r="M44" s="31" t="s">
        <v>109</v>
      </c>
      <c r="N44" s="9" t="s">
        <v>114</v>
      </c>
    </row>
    <row r="45" spans="1:14">
      <c r="A45" s="66"/>
      <c r="B45" s="36" t="s">
        <v>104</v>
      </c>
      <c r="C45" s="35" t="s">
        <v>9</v>
      </c>
      <c r="D45" s="50"/>
      <c r="E45" s="35" t="s">
        <v>37</v>
      </c>
      <c r="F45" s="50">
        <v>0</v>
      </c>
      <c r="G45" s="50"/>
      <c r="H45" s="35">
        <v>1638</v>
      </c>
      <c r="I45" s="35" t="s">
        <v>89</v>
      </c>
      <c r="J45" s="31">
        <v>2025</v>
      </c>
      <c r="K45" s="50">
        <v>2016</v>
      </c>
      <c r="L45" s="31" t="s">
        <v>106</v>
      </c>
      <c r="M45" s="31" t="s">
        <v>109</v>
      </c>
      <c r="N45" s="9"/>
    </row>
    <row r="46" spans="1:14">
      <c r="A46" s="66"/>
      <c r="B46" s="36" t="s">
        <v>105</v>
      </c>
      <c r="C46" s="35" t="s">
        <v>9</v>
      </c>
      <c r="D46" s="50"/>
      <c r="E46" s="35" t="s">
        <v>95</v>
      </c>
      <c r="F46" s="50"/>
      <c r="G46" s="50">
        <v>0</v>
      </c>
      <c r="H46" s="35">
        <v>845</v>
      </c>
      <c r="I46" s="35" t="s">
        <v>92</v>
      </c>
      <c r="J46" s="31">
        <v>2028</v>
      </c>
      <c r="K46" s="31"/>
      <c r="L46" s="31"/>
      <c r="M46" s="32"/>
      <c r="N46" s="9"/>
    </row>
    <row r="47" spans="1:14">
      <c r="A47" s="13" t="s">
        <v>67</v>
      </c>
      <c r="B47" s="11">
        <f>COUNTA(B48:B48)</f>
        <v>1</v>
      </c>
      <c r="C47" s="11"/>
      <c r="D47" s="11"/>
      <c r="E47" s="27"/>
      <c r="F47" s="11">
        <f>COUNTA(F48:F48)</f>
        <v>1</v>
      </c>
      <c r="G47" s="11">
        <f>COUNTA(G48:G48)</f>
        <v>0</v>
      </c>
      <c r="H47" s="28">
        <f>SUM(H48:H48)</f>
        <v>3500</v>
      </c>
      <c r="I47" s="11"/>
      <c r="J47" s="11"/>
      <c r="K47" s="12"/>
      <c r="L47" s="12"/>
      <c r="M47" s="38"/>
      <c r="N47" s="30"/>
    </row>
    <row r="48" spans="1:14" ht="17.25" thickBot="1">
      <c r="A48" s="61"/>
      <c r="B48" s="62" t="s">
        <v>72</v>
      </c>
      <c r="C48" s="63" t="s">
        <v>14</v>
      </c>
      <c r="D48" s="64"/>
      <c r="E48" s="63" t="s">
        <v>17</v>
      </c>
      <c r="F48" s="64">
        <v>0</v>
      </c>
      <c r="G48" s="64"/>
      <c r="H48" s="63">
        <v>3500</v>
      </c>
      <c r="I48" s="63" t="s">
        <v>91</v>
      </c>
      <c r="J48" s="63" t="s">
        <v>92</v>
      </c>
      <c r="K48" s="59"/>
      <c r="L48" s="59"/>
      <c r="M48" s="60"/>
      <c r="N48" s="65" t="s">
        <v>97</v>
      </c>
    </row>
  </sheetData>
  <mergeCells count="11">
    <mergeCell ref="A18:A46"/>
    <mergeCell ref="A1:N1"/>
    <mergeCell ref="A3:E3"/>
    <mergeCell ref="A14:E14"/>
    <mergeCell ref="A15:A16"/>
    <mergeCell ref="B15:B16"/>
    <mergeCell ref="C15:E15"/>
    <mergeCell ref="F15:G15"/>
    <mergeCell ref="H15:J15"/>
    <mergeCell ref="K15:M15"/>
    <mergeCell ref="N15:N16"/>
  </mergeCells>
  <phoneticPr fontId="2" type="noConversion"/>
  <pageMargins left="0.7" right="0.7" top="0.75" bottom="0.75" header="0.3" footer="0.3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2023-04-18T01:44:47Z</cp:lastPrinted>
  <dcterms:created xsi:type="dcterms:W3CDTF">2022-08-08T17:01:08Z</dcterms:created>
  <dcterms:modified xsi:type="dcterms:W3CDTF">2023-05-25T02:12:29Z</dcterms:modified>
</cp:coreProperties>
</file>