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3. 어린이보호구역 관련\1. 보호구역 관리카드\"/>
    </mc:Choice>
  </mc:AlternateContent>
  <xr:revisionPtr revIDLastSave="0" documentId="13_ncr:1_{5AC1446C-13FA-47F3-9085-F81A448A97BC}" xr6:coauthVersionLast="47" xr6:coauthVersionMax="47" xr10:uidLastSave="{00000000-0000-0000-0000-000000000000}"/>
  <bookViews>
    <workbookView xWindow="28680" yWindow="780" windowWidth="19440" windowHeight="15600" activeTab="1" xr2:uid="{00000000-000D-0000-FFFF-FFFF00000000}"/>
  </bookViews>
  <sheets>
    <sheet name="총괄" sheetId="2" r:id="rId1"/>
    <sheet name="어린이 보호구역 지정·관리 현황" sheetId="1" r:id="rId2"/>
    <sheet name="노인 보호구역 지정·관리 현황" sheetId="3" r:id="rId3"/>
    <sheet name="장애인 보호구역 지정·관리 현황" sheetId="4" r:id="rId4"/>
  </sheets>
  <definedNames>
    <definedName name="_xlnm._FilterDatabase" localSheetId="2" hidden="1">'노인 보호구역 지정·관리 현황'!$A$2:$Q$29</definedName>
    <definedName name="_xlnm._FilterDatabase" localSheetId="1" hidden="1">'어린이 보호구역 지정·관리 현황'!$A$2:$I$139</definedName>
    <definedName name="_xlnm.Print_Area" localSheetId="2">'노인 보호구역 지정·관리 현황'!$A$1:$I$32</definedName>
    <definedName name="_xlnm.Print_Area" localSheetId="1">'어린이 보호구역 지정·관리 현황'!$A$1:$I$141</definedName>
    <definedName name="_xlnm.Print_Area" localSheetId="3">'장애인 보호구역 지정·관리 현황'!$A$1:$I$33</definedName>
    <definedName name="_xlnm.Print_Area" localSheetId="0">총괄!$A$1:$F$42</definedName>
    <definedName name="_xlnm.Print_Titles" localSheetId="1">'어린이 보호구역 지정·관리 현황'!$1:$2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2" l="1"/>
  <c r="K7" i="3"/>
  <c r="L7" i="3"/>
  <c r="M7" i="3"/>
  <c r="N7" i="3"/>
  <c r="O7" i="3"/>
  <c r="P7" i="3"/>
  <c r="Q7" i="3"/>
  <c r="J7" i="3"/>
  <c r="E4" i="2" l="1"/>
  <c r="P59" i="1"/>
  <c r="O59" i="1"/>
  <c r="N59" i="1"/>
  <c r="M59" i="1"/>
  <c r="L59" i="1"/>
  <c r="K59" i="1"/>
  <c r="J59" i="1"/>
  <c r="L55" i="1"/>
  <c r="K55" i="1"/>
  <c r="J55" i="1"/>
  <c r="L54" i="1"/>
  <c r="K54" i="1"/>
  <c r="K53" i="1"/>
  <c r="J53" i="1"/>
  <c r="Q52" i="1"/>
  <c r="P52" i="1"/>
  <c r="O52" i="1"/>
  <c r="N52" i="1"/>
  <c r="L52" i="1"/>
  <c r="M52" i="1"/>
  <c r="K52" i="1"/>
  <c r="J52" i="1"/>
  <c r="Q51" i="1"/>
  <c r="P51" i="1"/>
  <c r="O51" i="1"/>
  <c r="N51" i="1"/>
  <c r="M51" i="1"/>
  <c r="L51" i="1"/>
  <c r="K51" i="1"/>
  <c r="J51" i="1"/>
  <c r="Q50" i="1"/>
  <c r="P50" i="1"/>
  <c r="O50" i="1"/>
  <c r="N50" i="1"/>
  <c r="M50" i="1"/>
  <c r="L50" i="1"/>
  <c r="K50" i="1"/>
  <c r="Q49" i="1"/>
  <c r="P49" i="1"/>
  <c r="N49" i="1"/>
  <c r="M49" i="1"/>
  <c r="L49" i="1"/>
  <c r="K49" i="1"/>
  <c r="J49" i="1"/>
  <c r="Q48" i="1"/>
  <c r="P48" i="1"/>
  <c r="N48" i="1"/>
  <c r="M48" i="1"/>
  <c r="L48" i="1"/>
  <c r="K48" i="1"/>
  <c r="J48" i="1"/>
  <c r="Q47" i="1"/>
  <c r="P47" i="1"/>
  <c r="O47" i="1"/>
  <c r="M47" i="1"/>
  <c r="L47" i="1"/>
  <c r="K47" i="1"/>
  <c r="J47" i="1"/>
  <c r="Q46" i="1"/>
  <c r="P46" i="1"/>
  <c r="O46" i="1"/>
  <c r="N46" i="1"/>
  <c r="M46" i="1"/>
  <c r="L46" i="1"/>
  <c r="K46" i="1"/>
  <c r="J46" i="1"/>
  <c r="Q45" i="1"/>
  <c r="P45" i="1"/>
  <c r="O45" i="1"/>
  <c r="N45" i="1"/>
  <c r="M45" i="1"/>
  <c r="L45" i="1"/>
  <c r="K45" i="1"/>
  <c r="J45" i="1"/>
  <c r="Q44" i="1"/>
  <c r="P44" i="1"/>
  <c r="O44" i="1"/>
  <c r="N44" i="1"/>
  <c r="M44" i="1"/>
  <c r="L44" i="1"/>
  <c r="K44" i="1"/>
  <c r="J44" i="1"/>
  <c r="N43" i="1"/>
  <c r="M43" i="1"/>
  <c r="M42" i="1"/>
  <c r="J42" i="1"/>
  <c r="Q41" i="1"/>
  <c r="P41" i="1"/>
  <c r="O41" i="1"/>
  <c r="N41" i="1"/>
  <c r="M41" i="1"/>
  <c r="L41" i="1"/>
  <c r="K41" i="1"/>
  <c r="J41" i="1"/>
  <c r="Q40" i="1"/>
  <c r="P40" i="1"/>
  <c r="O40" i="1"/>
  <c r="N40" i="1"/>
  <c r="M40" i="1"/>
  <c r="L40" i="1"/>
  <c r="K40" i="1"/>
  <c r="J40" i="1"/>
  <c r="Q39" i="1"/>
  <c r="P39" i="1"/>
  <c r="O39" i="1"/>
  <c r="N39" i="1"/>
  <c r="M39" i="1"/>
  <c r="L39" i="1"/>
  <c r="K39" i="1"/>
  <c r="J39" i="1"/>
  <c r="J36" i="1"/>
  <c r="P34" i="1"/>
  <c r="N34" i="1"/>
  <c r="L34" i="1"/>
  <c r="K34" i="1"/>
  <c r="J34" i="1"/>
  <c r="Q33" i="1"/>
  <c r="P33" i="1"/>
  <c r="O33" i="1"/>
  <c r="M33" i="1"/>
  <c r="L33" i="1"/>
  <c r="K33" i="1"/>
  <c r="J33" i="1"/>
  <c r="N32" i="1"/>
  <c r="L32" i="1"/>
  <c r="K32" i="1"/>
  <c r="J32" i="1"/>
  <c r="Q28" i="1"/>
  <c r="P28" i="1"/>
  <c r="O28" i="1"/>
  <c r="N28" i="1"/>
  <c r="M28" i="1"/>
  <c r="L28" i="1"/>
  <c r="K28" i="1"/>
  <c r="J28" i="1"/>
  <c r="P27" i="1"/>
  <c r="N27" i="1"/>
  <c r="L27" i="1"/>
  <c r="K27" i="1"/>
  <c r="J27" i="1"/>
  <c r="Q26" i="1"/>
  <c r="P26" i="1"/>
  <c r="O26" i="1"/>
  <c r="N26" i="1"/>
  <c r="M26" i="1"/>
  <c r="L26" i="1"/>
  <c r="K26" i="1"/>
  <c r="J26" i="1"/>
  <c r="Q25" i="1"/>
  <c r="P25" i="1"/>
  <c r="O25" i="1"/>
  <c r="N25" i="1"/>
  <c r="M25" i="1"/>
  <c r="L25" i="1"/>
  <c r="K25" i="1"/>
  <c r="J25" i="1"/>
  <c r="P23" i="1"/>
  <c r="O23" i="1"/>
  <c r="N23" i="1"/>
  <c r="L23" i="1"/>
  <c r="K23" i="1"/>
  <c r="J23" i="1"/>
  <c r="Q22" i="1"/>
  <c r="P22" i="1"/>
  <c r="O22" i="1"/>
  <c r="N22" i="1"/>
  <c r="L22" i="1"/>
  <c r="K22" i="1"/>
  <c r="J22" i="1"/>
  <c r="Q21" i="1"/>
  <c r="P21" i="1"/>
  <c r="O21" i="1"/>
  <c r="M21" i="1"/>
  <c r="L21" i="1"/>
  <c r="K21" i="1"/>
  <c r="J21" i="1"/>
  <c r="Q20" i="1"/>
  <c r="P20" i="1"/>
  <c r="O20" i="1"/>
  <c r="M20" i="1"/>
  <c r="L20" i="1"/>
  <c r="K20" i="1"/>
  <c r="J20" i="1"/>
  <c r="Q16" i="1"/>
  <c r="O16" i="1"/>
  <c r="N16" i="1"/>
  <c r="M16" i="1"/>
  <c r="L16" i="1"/>
  <c r="K16" i="1"/>
  <c r="J16" i="1"/>
  <c r="Q14" i="1"/>
  <c r="P14" i="1"/>
  <c r="O14" i="1"/>
  <c r="N14" i="1"/>
  <c r="M14" i="1"/>
  <c r="L14" i="1"/>
  <c r="K14" i="1"/>
  <c r="J14" i="1"/>
  <c r="Q13" i="1"/>
  <c r="P13" i="1"/>
  <c r="O13" i="1"/>
  <c r="N13" i="1"/>
  <c r="M13" i="1"/>
  <c r="L13" i="1"/>
  <c r="K13" i="1"/>
  <c r="J13" i="1"/>
  <c r="Q12" i="1"/>
  <c r="P12" i="1"/>
  <c r="O12" i="1"/>
  <c r="N12" i="1"/>
  <c r="M12" i="1"/>
  <c r="L12" i="1"/>
  <c r="K12" i="1"/>
  <c r="J12" i="1"/>
  <c r="Q11" i="1"/>
  <c r="P11" i="1"/>
  <c r="O11" i="1"/>
  <c r="N11" i="1"/>
  <c r="M11" i="1"/>
  <c r="L11" i="1"/>
  <c r="K11" i="1"/>
  <c r="J11" i="1"/>
  <c r="Q10" i="1"/>
  <c r="P10" i="1"/>
  <c r="O10" i="1"/>
  <c r="N10" i="1"/>
  <c r="M10" i="1"/>
  <c r="L10" i="1"/>
  <c r="K10" i="1"/>
  <c r="J10" i="1"/>
  <c r="Q9" i="1"/>
  <c r="P9" i="1"/>
  <c r="O9" i="1"/>
  <c r="N9" i="1"/>
  <c r="M9" i="1"/>
  <c r="L9" i="1"/>
  <c r="K9" i="1"/>
  <c r="J9" i="1"/>
  <c r="Q8" i="1"/>
  <c r="P8" i="1"/>
  <c r="N8" i="1"/>
  <c r="M8" i="1"/>
  <c r="L8" i="1"/>
  <c r="K8" i="1"/>
  <c r="J8" i="1"/>
  <c r="Q7" i="1"/>
  <c r="P7" i="1"/>
  <c r="O7" i="1"/>
  <c r="N7" i="1"/>
  <c r="M7" i="1"/>
  <c r="L7" i="1"/>
  <c r="J7" i="1"/>
  <c r="Q6" i="1"/>
  <c r="P6" i="1"/>
  <c r="O6" i="1"/>
  <c r="N6" i="1"/>
  <c r="M6" i="1"/>
  <c r="L6" i="1"/>
  <c r="K6" i="1"/>
  <c r="J6" i="1"/>
  <c r="Q5" i="1"/>
  <c r="P5" i="1"/>
  <c r="P3" i="1"/>
  <c r="O5" i="1"/>
  <c r="N5" i="1"/>
  <c r="M5" i="1"/>
  <c r="L5" i="1"/>
  <c r="K5" i="1"/>
  <c r="J5" i="1"/>
  <c r="Q4" i="1"/>
  <c r="P4" i="1"/>
  <c r="N4" i="1"/>
  <c r="M4" i="1"/>
  <c r="L4" i="1"/>
  <c r="K4" i="1"/>
  <c r="J4" i="1"/>
  <c r="Q3" i="1"/>
  <c r="O3" i="1"/>
  <c r="N3" i="1"/>
  <c r="D12" i="2"/>
  <c r="D4" i="2"/>
  <c r="A85" i="1" l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</calcChain>
</file>

<file path=xl/sharedStrings.xml><?xml version="1.0" encoding="utf-8"?>
<sst xmlns="http://schemas.openxmlformats.org/spreadsheetml/2006/main" count="1066" uniqueCount="762">
  <si>
    <t>연번</t>
    <phoneticPr fontId="1" type="noConversion"/>
  </si>
  <si>
    <t>관리번호</t>
    <phoneticPr fontId="1" type="noConversion"/>
  </si>
  <si>
    <t>시설구분</t>
    <phoneticPr fontId="1" type="noConversion"/>
  </si>
  <si>
    <t>시설명</t>
    <phoneticPr fontId="1" type="noConversion"/>
  </si>
  <si>
    <t>동명</t>
    <phoneticPr fontId="1" type="noConversion"/>
  </si>
  <si>
    <t>지번</t>
    <phoneticPr fontId="1" type="noConversion"/>
  </si>
  <si>
    <t>도로명주소</t>
    <phoneticPr fontId="1" type="noConversion"/>
  </si>
  <si>
    <t>지정년도</t>
    <phoneticPr fontId="1" type="noConversion"/>
  </si>
  <si>
    <t>비고</t>
    <phoneticPr fontId="1" type="noConversion"/>
  </si>
  <si>
    <t>초등학교</t>
    <phoneticPr fontId="1" type="noConversion"/>
  </si>
  <si>
    <t>가석초등학교</t>
    <phoneticPr fontId="1" type="noConversion"/>
  </si>
  <si>
    <t>가정동</t>
    <phoneticPr fontId="1" type="noConversion"/>
  </si>
  <si>
    <t>서달로 174</t>
    <phoneticPr fontId="1" type="noConversion"/>
  </si>
  <si>
    <t>430-37</t>
    <phoneticPr fontId="1" type="noConversion"/>
  </si>
  <si>
    <t>초등학교</t>
    <phoneticPr fontId="1" type="noConversion"/>
  </si>
  <si>
    <t>검단초등학교</t>
    <phoneticPr fontId="1" type="noConversion"/>
  </si>
  <si>
    <t>마전로115번길 24</t>
    <phoneticPr fontId="1" type="noConversion"/>
  </si>
  <si>
    <t>마전동</t>
    <phoneticPr fontId="1" type="noConversion"/>
  </si>
  <si>
    <t>147-1</t>
    <phoneticPr fontId="1" type="noConversion"/>
  </si>
  <si>
    <t>서곶초등학교</t>
    <phoneticPr fontId="1" type="noConversion"/>
  </si>
  <si>
    <t>대평로56번길 9</t>
    <phoneticPr fontId="1" type="noConversion"/>
  </si>
  <si>
    <t>연희동</t>
    <phoneticPr fontId="1" type="noConversion"/>
  </si>
  <si>
    <t>745-1</t>
    <phoneticPr fontId="1" type="noConversion"/>
  </si>
  <si>
    <t>석남초등학교</t>
    <phoneticPr fontId="1" type="noConversion"/>
  </si>
  <si>
    <t>서달로130번길 4</t>
    <phoneticPr fontId="1" type="noConversion"/>
  </si>
  <si>
    <t>석남동</t>
    <phoneticPr fontId="1" type="noConversion"/>
  </si>
  <si>
    <t>109-32</t>
    <phoneticPr fontId="1" type="noConversion"/>
  </si>
  <si>
    <t>신현초등학교</t>
    <phoneticPr fontId="1" type="noConversion"/>
  </si>
  <si>
    <t>율도로77번길 1</t>
    <phoneticPr fontId="1" type="noConversion"/>
  </si>
  <si>
    <t>신현동</t>
    <phoneticPr fontId="1" type="noConversion"/>
  </si>
  <si>
    <t>석남서초등학교</t>
    <phoneticPr fontId="1" type="noConversion"/>
  </si>
  <si>
    <t>건지로249번길 6</t>
    <phoneticPr fontId="1" type="noConversion"/>
  </si>
  <si>
    <t>신석초등학교</t>
    <phoneticPr fontId="1" type="noConversion"/>
  </si>
  <si>
    <t>새오개로 9</t>
    <phoneticPr fontId="1" type="noConversion"/>
  </si>
  <si>
    <t>208-2</t>
    <phoneticPr fontId="1" type="noConversion"/>
  </si>
  <si>
    <t>봉수초등학교</t>
    <phoneticPr fontId="1" type="noConversion"/>
  </si>
  <si>
    <t>봉오대로267번길 11-4</t>
    <phoneticPr fontId="1" type="noConversion"/>
  </si>
  <si>
    <t>가정동</t>
    <phoneticPr fontId="1" type="noConversion"/>
  </si>
  <si>
    <t>284-439</t>
    <phoneticPr fontId="1" type="noConversion"/>
  </si>
  <si>
    <t>건지초등학교</t>
    <phoneticPr fontId="1" type="noConversion"/>
  </si>
  <si>
    <t>건지로318번길 39</t>
    <phoneticPr fontId="1" type="noConversion"/>
  </si>
  <si>
    <t>가좌동</t>
    <phoneticPr fontId="1" type="noConversion"/>
  </si>
  <si>
    <t>가정초등학교</t>
    <phoneticPr fontId="1" type="noConversion"/>
  </si>
  <si>
    <t>장고개로 336-1</t>
    <phoneticPr fontId="1" type="noConversion"/>
  </si>
  <si>
    <t>395-4</t>
    <phoneticPr fontId="1" type="noConversion"/>
  </si>
  <si>
    <t>신현북초등학교</t>
    <phoneticPr fontId="1" type="noConversion"/>
  </si>
  <si>
    <t>원창로 147</t>
    <phoneticPr fontId="1" type="noConversion"/>
  </si>
  <si>
    <t>85-1</t>
    <phoneticPr fontId="1" type="noConversion"/>
  </si>
  <si>
    <t>가좌초등학교</t>
    <phoneticPr fontId="1" type="noConversion"/>
  </si>
  <si>
    <t>장고개로309번길 5</t>
    <phoneticPr fontId="1" type="noConversion"/>
  </si>
  <si>
    <t>30-87</t>
    <phoneticPr fontId="1" type="noConversion"/>
  </si>
  <si>
    <t>천마초등학교</t>
    <phoneticPr fontId="1" type="noConversion"/>
  </si>
  <si>
    <t>서달로 58-5</t>
    <phoneticPr fontId="1" type="noConversion"/>
  </si>
  <si>
    <t>295-13</t>
    <phoneticPr fontId="1" type="noConversion"/>
  </si>
  <si>
    <t>단봉초등학교</t>
    <phoneticPr fontId="1" type="noConversion"/>
  </si>
  <si>
    <t>단봉로 122</t>
    <phoneticPr fontId="1" type="noConversion"/>
  </si>
  <si>
    <t>오류동</t>
    <phoneticPr fontId="1" type="noConversion"/>
  </si>
  <si>
    <t>1720-1</t>
    <phoneticPr fontId="1" type="noConversion"/>
  </si>
  <si>
    <t>심곡초등학교</t>
    <phoneticPr fontId="1" type="noConversion"/>
  </si>
  <si>
    <t>심곡로 114</t>
    <phoneticPr fontId="1" type="noConversion"/>
  </si>
  <si>
    <t>심곡동</t>
    <phoneticPr fontId="1" type="noConversion"/>
  </si>
  <si>
    <t>291-8</t>
    <phoneticPr fontId="1" type="noConversion"/>
  </si>
  <si>
    <t>불로초등학교</t>
    <phoneticPr fontId="1" type="noConversion"/>
  </si>
  <si>
    <t>검단로744번1길 50</t>
    <phoneticPr fontId="1" type="noConversion"/>
  </si>
  <si>
    <t>불로동</t>
    <phoneticPr fontId="1" type="noConversion"/>
  </si>
  <si>
    <t>338-5</t>
    <phoneticPr fontId="1" type="noConversion"/>
  </si>
  <si>
    <t>금곡초등학교</t>
    <phoneticPr fontId="1" type="noConversion"/>
  </si>
  <si>
    <t>완정로228번길 19</t>
    <phoneticPr fontId="1" type="noConversion"/>
  </si>
  <si>
    <t>금곡동</t>
    <phoneticPr fontId="1" type="noConversion"/>
  </si>
  <si>
    <t>721-1</t>
    <phoneticPr fontId="1" type="noConversion"/>
  </si>
  <si>
    <t>당하초등학교</t>
    <phoneticPr fontId="1" type="noConversion"/>
  </si>
  <si>
    <t>청마로 144</t>
    <phoneticPr fontId="1" type="noConversion"/>
  </si>
  <si>
    <t>당하동</t>
    <phoneticPr fontId="1" type="noConversion"/>
  </si>
  <si>
    <t>1107-1</t>
    <phoneticPr fontId="1" type="noConversion"/>
  </si>
  <si>
    <t>가현초등학교</t>
    <phoneticPr fontId="1" type="noConversion"/>
  </si>
  <si>
    <t>염곡로 417</t>
    <phoneticPr fontId="1" type="noConversion"/>
  </si>
  <si>
    <t>2-103</t>
    <phoneticPr fontId="1" type="noConversion"/>
  </si>
  <si>
    <t>양지초등학교</t>
    <phoneticPr fontId="1" type="noConversion"/>
  </si>
  <si>
    <t>승학로197번길 11</t>
    <phoneticPr fontId="1" type="noConversion"/>
  </si>
  <si>
    <t>144-2</t>
    <phoneticPr fontId="1" type="noConversion"/>
  </si>
  <si>
    <t>마전초등학교</t>
    <phoneticPr fontId="1" type="noConversion"/>
  </si>
  <si>
    <t>완정로34번길 23</t>
    <phoneticPr fontId="1" type="noConversion"/>
  </si>
  <si>
    <t>999-12</t>
    <phoneticPr fontId="1" type="noConversion"/>
  </si>
  <si>
    <t>목향초등학교</t>
    <phoneticPr fontId="1" type="noConversion"/>
  </si>
  <si>
    <t>고산후로 377</t>
    <phoneticPr fontId="1" type="noConversion"/>
  </si>
  <si>
    <t>306-25</t>
    <phoneticPr fontId="1" type="noConversion"/>
  </si>
  <si>
    <t>간재울초등학교</t>
    <phoneticPr fontId="1" type="noConversion"/>
  </si>
  <si>
    <t>승학로 433</t>
    <phoneticPr fontId="1" type="noConversion"/>
  </si>
  <si>
    <t>검암동</t>
    <phoneticPr fontId="1" type="noConversion"/>
  </si>
  <si>
    <t>629-3</t>
    <phoneticPr fontId="1" type="noConversion"/>
  </si>
  <si>
    <t>발산초등학교</t>
    <phoneticPr fontId="1" type="noConversion"/>
  </si>
  <si>
    <t>고산후로78번길 6</t>
    <phoneticPr fontId="1" type="noConversion"/>
  </si>
  <si>
    <t>1038-1</t>
    <phoneticPr fontId="1" type="noConversion"/>
  </si>
  <si>
    <t>봉화초등학교</t>
    <phoneticPr fontId="1" type="noConversion"/>
  </si>
  <si>
    <t>건지로250번길 43</t>
    <phoneticPr fontId="1" type="noConversion"/>
  </si>
  <si>
    <t>147</t>
    <phoneticPr fontId="1" type="noConversion"/>
  </si>
  <si>
    <t>검암초등학교</t>
    <phoneticPr fontId="1" type="noConversion"/>
  </si>
  <si>
    <t>승학로599번길 45</t>
    <phoneticPr fontId="1" type="noConversion"/>
  </si>
  <si>
    <t>495</t>
    <phoneticPr fontId="1" type="noConversion"/>
  </si>
  <si>
    <t>은지초등학교</t>
    <phoneticPr fontId="1" type="noConversion"/>
  </si>
  <si>
    <t>승학로572번길 22</t>
    <phoneticPr fontId="1" type="noConversion"/>
  </si>
  <si>
    <t>536-1</t>
    <phoneticPr fontId="1" type="noConversion"/>
  </si>
  <si>
    <t>가림초등학교</t>
    <phoneticPr fontId="1" type="noConversion"/>
  </si>
  <si>
    <t>장고개로293번길 29</t>
    <phoneticPr fontId="1" type="noConversion"/>
  </si>
  <si>
    <t>231</t>
    <phoneticPr fontId="1" type="noConversion"/>
  </si>
  <si>
    <t>초등학교</t>
    <phoneticPr fontId="1" type="noConversion"/>
  </si>
  <si>
    <t>원당초등학교</t>
    <phoneticPr fontId="1" type="noConversion"/>
  </si>
  <si>
    <t>원당대로820번길 16</t>
    <phoneticPr fontId="1" type="noConversion"/>
  </si>
  <si>
    <t>당하동</t>
    <phoneticPr fontId="1" type="noConversion"/>
  </si>
  <si>
    <t>1022</t>
    <phoneticPr fontId="1" type="noConversion"/>
  </si>
  <si>
    <t>초등학교</t>
    <phoneticPr fontId="1" type="noConversion"/>
  </si>
  <si>
    <t>왕길초등학교</t>
    <phoneticPr fontId="1" type="noConversion"/>
  </si>
  <si>
    <t>봉수대로1440번길 20</t>
    <phoneticPr fontId="1" type="noConversion"/>
  </si>
  <si>
    <t>왕길동</t>
    <phoneticPr fontId="1" type="noConversion"/>
  </si>
  <si>
    <t>649-3</t>
    <phoneticPr fontId="1" type="noConversion"/>
  </si>
  <si>
    <t>경서초등학교</t>
    <phoneticPr fontId="1" type="noConversion"/>
  </si>
  <si>
    <t>경서로31번길 31</t>
    <phoneticPr fontId="1" type="noConversion"/>
  </si>
  <si>
    <t>경서동</t>
    <phoneticPr fontId="1" type="noConversion"/>
  </si>
  <si>
    <t>741</t>
    <phoneticPr fontId="1" type="noConversion"/>
  </si>
  <si>
    <t>창신초등학교</t>
    <phoneticPr fontId="1" type="noConversion"/>
  </si>
  <si>
    <t>고산후로161번길 6</t>
    <phoneticPr fontId="1" type="noConversion"/>
  </si>
  <si>
    <t>원당동</t>
    <phoneticPr fontId="1" type="noConversion"/>
  </si>
  <si>
    <t>809</t>
    <phoneticPr fontId="1" type="noConversion"/>
  </si>
  <si>
    <t>능내초등학교</t>
    <phoneticPr fontId="1" type="noConversion"/>
  </si>
  <si>
    <t>검단로540번길 23</t>
    <phoneticPr fontId="1" type="noConversion"/>
  </si>
  <si>
    <t>마전동</t>
    <phoneticPr fontId="1" type="noConversion"/>
  </si>
  <si>
    <t>산119-9</t>
    <phoneticPr fontId="1" type="noConversion"/>
  </si>
  <si>
    <t>완정초등학교</t>
    <phoneticPr fontId="1" type="noConversion"/>
  </si>
  <si>
    <t>완정로 99</t>
    <phoneticPr fontId="1" type="noConversion"/>
  </si>
  <si>
    <t>산158-2</t>
    <phoneticPr fontId="1" type="noConversion"/>
  </si>
  <si>
    <t>초등학교</t>
    <phoneticPr fontId="1" type="noConversion"/>
  </si>
  <si>
    <t>공촌초등학교</t>
    <phoneticPr fontId="1" type="noConversion"/>
  </si>
  <si>
    <t>심곡로188번길 21</t>
    <phoneticPr fontId="1" type="noConversion"/>
  </si>
  <si>
    <t>공촌동</t>
    <phoneticPr fontId="1" type="noConversion"/>
  </si>
  <si>
    <t>277-2</t>
    <phoneticPr fontId="1" type="noConversion"/>
  </si>
  <si>
    <t>초등학교</t>
    <phoneticPr fontId="1" type="noConversion"/>
  </si>
  <si>
    <t>청라초등학교</t>
    <phoneticPr fontId="1" type="noConversion"/>
  </si>
  <si>
    <t>청라에메랄드로 139</t>
    <phoneticPr fontId="1" type="noConversion"/>
  </si>
  <si>
    <t>청라동</t>
    <phoneticPr fontId="1" type="noConversion"/>
  </si>
  <si>
    <t>125-6</t>
    <phoneticPr fontId="1" type="noConversion"/>
  </si>
  <si>
    <t>초은초등학교</t>
    <phoneticPr fontId="1" type="noConversion"/>
  </si>
  <si>
    <t>청라에메랄드로 33</t>
    <phoneticPr fontId="1" type="noConversion"/>
  </si>
  <si>
    <t>192-3</t>
    <phoneticPr fontId="1" type="noConversion"/>
  </si>
  <si>
    <t>청일초등학교</t>
    <phoneticPr fontId="1" type="noConversion"/>
  </si>
  <si>
    <t>크리스탈로 46</t>
    <phoneticPr fontId="1" type="noConversion"/>
  </si>
  <si>
    <t>173-2</t>
    <phoneticPr fontId="1" type="noConversion"/>
  </si>
  <si>
    <t>유치원</t>
    <phoneticPr fontId="1" type="noConversion"/>
  </si>
  <si>
    <t>은하유치원</t>
    <phoneticPr fontId="1" type="noConversion"/>
  </si>
  <si>
    <t>완정로10번길 20</t>
    <phoneticPr fontId="1" type="noConversion"/>
  </si>
  <si>
    <t>마전동</t>
    <phoneticPr fontId="1" type="noConversion"/>
  </si>
  <si>
    <t>564-3</t>
    <phoneticPr fontId="1" type="noConversion"/>
  </si>
  <si>
    <t>예일유치원</t>
    <phoneticPr fontId="1" type="noConversion"/>
  </si>
  <si>
    <t>장고개로337번길 12</t>
    <phoneticPr fontId="1" type="noConversion"/>
  </si>
  <si>
    <t>가좌동</t>
    <phoneticPr fontId="1" type="noConversion"/>
  </si>
  <si>
    <t>19</t>
    <phoneticPr fontId="1" type="noConversion"/>
  </si>
  <si>
    <t>아림유치원</t>
    <phoneticPr fontId="1" type="noConversion"/>
  </si>
  <si>
    <t>장고개로 375-11</t>
    <phoneticPr fontId="1" type="noConversion"/>
  </si>
  <si>
    <t>2-12</t>
    <phoneticPr fontId="1" type="noConversion"/>
  </si>
  <si>
    <t>미일유치원</t>
    <phoneticPr fontId="1" type="noConversion"/>
  </si>
  <si>
    <t>서달로 153-1</t>
    <phoneticPr fontId="1" type="noConversion"/>
  </si>
  <si>
    <t>석남동</t>
    <phoneticPr fontId="1" type="noConversion"/>
  </si>
  <si>
    <t>470-7</t>
    <phoneticPr fontId="1" type="noConversion"/>
  </si>
  <si>
    <t>한샘유치원</t>
    <phoneticPr fontId="1" type="noConversion"/>
  </si>
  <si>
    <t>율도로15번길 26-9</t>
    <phoneticPr fontId="1" type="noConversion"/>
  </si>
  <si>
    <t>신현동</t>
    <phoneticPr fontId="1" type="noConversion"/>
  </si>
  <si>
    <t>173-81</t>
    <phoneticPr fontId="1" type="noConversion"/>
  </si>
  <si>
    <t>아름다운유치원</t>
    <phoneticPr fontId="1" type="noConversion"/>
  </si>
  <si>
    <t>신현로 44</t>
    <phoneticPr fontId="1" type="noConversion"/>
  </si>
  <si>
    <t>283</t>
    <phoneticPr fontId="1" type="noConversion"/>
  </si>
  <si>
    <t>새한신유치원</t>
    <phoneticPr fontId="1" type="noConversion"/>
  </si>
  <si>
    <t>여우재로 129</t>
    <phoneticPr fontId="1" type="noConversion"/>
  </si>
  <si>
    <t>가정동</t>
    <phoneticPr fontId="1" type="noConversion"/>
  </si>
  <si>
    <t>309-3</t>
    <phoneticPr fontId="1" type="noConversion"/>
  </si>
  <si>
    <t>희망찬유치원</t>
    <phoneticPr fontId="1" type="noConversion"/>
  </si>
  <si>
    <t>봉화로223번안길 5</t>
    <phoneticPr fontId="1" type="noConversion"/>
  </si>
  <si>
    <t>금곡동</t>
    <phoneticPr fontId="1" type="noConversion"/>
  </si>
  <si>
    <t>403-2</t>
    <phoneticPr fontId="1" type="noConversion"/>
  </si>
  <si>
    <t>한울유치원</t>
    <phoneticPr fontId="1" type="noConversion"/>
  </si>
  <si>
    <t>서곶로 818</t>
    <phoneticPr fontId="1" type="noConversion"/>
  </si>
  <si>
    <t>당하동</t>
    <phoneticPr fontId="1" type="noConversion"/>
  </si>
  <si>
    <t>895-1</t>
    <phoneticPr fontId="1" type="noConversion"/>
  </si>
  <si>
    <t>뿌리유치원</t>
    <phoneticPr fontId="1" type="noConversion"/>
  </si>
  <si>
    <t>강남로 1</t>
    <phoneticPr fontId="1" type="noConversion"/>
  </si>
  <si>
    <t>477-14</t>
    <phoneticPr fontId="1" type="noConversion"/>
  </si>
  <si>
    <t>연희유치원</t>
    <phoneticPr fontId="1" type="noConversion"/>
  </si>
  <si>
    <t>탁옥로85번길 6</t>
    <phoneticPr fontId="1" type="noConversion"/>
  </si>
  <si>
    <t>심곡동</t>
    <phoneticPr fontId="1" type="noConversion"/>
  </si>
  <si>
    <t>285-4</t>
    <phoneticPr fontId="1" type="noConversion"/>
  </si>
  <si>
    <t>큰사랑유치원</t>
    <phoneticPr fontId="1" type="noConversion"/>
  </si>
  <si>
    <t>완정로64번길 7</t>
    <phoneticPr fontId="1" type="noConversion"/>
  </si>
  <si>
    <t>639</t>
    <phoneticPr fontId="1" type="noConversion"/>
  </si>
  <si>
    <t>동진유치원</t>
    <phoneticPr fontId="1" type="noConversion"/>
  </si>
  <si>
    <t>신진말로 32-1</t>
    <phoneticPr fontId="1" type="noConversion"/>
  </si>
  <si>
    <t>212-4</t>
    <phoneticPr fontId="1" type="noConversion"/>
  </si>
  <si>
    <t>산울림유치원</t>
    <phoneticPr fontId="1" type="noConversion"/>
  </si>
  <si>
    <t>봉수대로 1548-15</t>
    <phoneticPr fontId="1" type="noConversion"/>
  </si>
  <si>
    <t>242-5</t>
    <phoneticPr fontId="1" type="noConversion"/>
  </si>
  <si>
    <t>예지유치원</t>
    <phoneticPr fontId="1" type="noConversion"/>
  </si>
  <si>
    <t>검단로 836</t>
    <phoneticPr fontId="1" type="noConversion"/>
  </si>
  <si>
    <t>불로동</t>
    <phoneticPr fontId="1" type="noConversion"/>
  </si>
  <si>
    <t>308</t>
    <phoneticPr fontId="1" type="noConversion"/>
  </si>
  <si>
    <t>재은유치원</t>
    <phoneticPr fontId="1" type="noConversion"/>
  </si>
  <si>
    <t>완정로34번길 20</t>
    <phoneticPr fontId="1" type="noConversion"/>
  </si>
  <si>
    <t>587</t>
    <phoneticPr fontId="1" type="noConversion"/>
  </si>
  <si>
    <t>해나라유치원</t>
    <phoneticPr fontId="1" type="noConversion"/>
  </si>
  <si>
    <t>고산후로161번안길 35</t>
    <phoneticPr fontId="1" type="noConversion"/>
  </si>
  <si>
    <t>원당동</t>
    <phoneticPr fontId="1" type="noConversion"/>
  </si>
  <si>
    <t>798-1</t>
    <phoneticPr fontId="1" type="noConversion"/>
  </si>
  <si>
    <t>리라유치원</t>
    <phoneticPr fontId="1" type="noConversion"/>
  </si>
  <si>
    <t>원당대로839번안길 6</t>
    <phoneticPr fontId="1" type="noConversion"/>
  </si>
  <si>
    <t>818-4</t>
    <phoneticPr fontId="1" type="noConversion"/>
  </si>
  <si>
    <t>무지개유치원</t>
    <phoneticPr fontId="1" type="noConversion"/>
  </si>
  <si>
    <t>검단로487번길 52-1</t>
    <phoneticPr fontId="1" type="noConversion"/>
  </si>
  <si>
    <t>923-6</t>
    <phoneticPr fontId="1" type="noConversion"/>
  </si>
  <si>
    <t>아이사랑유치원</t>
    <phoneticPr fontId="1" type="noConversion"/>
  </si>
  <si>
    <t>도요지로201번길 12</t>
    <phoneticPr fontId="1" type="noConversion"/>
  </si>
  <si>
    <t>청라새싹유치원</t>
    <phoneticPr fontId="1" type="noConversion"/>
  </si>
  <si>
    <t>용두산로26번길 14-5</t>
    <phoneticPr fontId="1" type="noConversion"/>
  </si>
  <si>
    <t>326-6</t>
    <phoneticPr fontId="1" type="noConversion"/>
  </si>
  <si>
    <t>유치원</t>
    <phoneticPr fontId="1" type="noConversion"/>
  </si>
  <si>
    <t>사랑샘유치원</t>
    <phoneticPr fontId="1" type="noConversion"/>
  </si>
  <si>
    <t>당하동</t>
    <phoneticPr fontId="1" type="noConversion"/>
  </si>
  <si>
    <t>1024</t>
    <phoneticPr fontId="1" type="noConversion"/>
  </si>
  <si>
    <t>신현동</t>
    <phoneticPr fontId="1" type="noConversion"/>
  </si>
  <si>
    <t>명문유치원</t>
    <phoneticPr fontId="1" type="noConversion"/>
  </si>
  <si>
    <t>고산로 16</t>
    <phoneticPr fontId="1" type="noConversion"/>
  </si>
  <si>
    <t>원당동</t>
    <phoneticPr fontId="1" type="noConversion"/>
  </si>
  <si>
    <t>853-3</t>
    <phoneticPr fontId="1" type="noConversion"/>
  </si>
  <si>
    <t>꿈드림유치원</t>
    <phoneticPr fontId="1" type="noConversion"/>
  </si>
  <si>
    <t>장고개로280번길 7-1</t>
    <phoneticPr fontId="1" type="noConversion"/>
  </si>
  <si>
    <t>가좌동</t>
    <phoneticPr fontId="1" type="noConversion"/>
  </si>
  <si>
    <t>310-5</t>
    <phoneticPr fontId="1" type="noConversion"/>
  </si>
  <si>
    <t>바다유치원</t>
    <phoneticPr fontId="1" type="noConversion"/>
  </si>
  <si>
    <t>염곡로311번길 7</t>
    <phoneticPr fontId="1" type="noConversion"/>
  </si>
  <si>
    <t>석남동</t>
    <phoneticPr fontId="1" type="noConversion"/>
  </si>
  <si>
    <t>168-76</t>
    <phoneticPr fontId="1" type="noConversion"/>
  </si>
  <si>
    <t>심곡동</t>
    <phoneticPr fontId="1" type="noConversion"/>
  </si>
  <si>
    <t>어린이집</t>
    <phoneticPr fontId="1" type="noConversion"/>
  </si>
  <si>
    <t>재현어린이집</t>
    <phoneticPr fontId="1" type="noConversion"/>
  </si>
  <si>
    <t>심곡로208번길 21</t>
    <phoneticPr fontId="1" type="noConversion"/>
  </si>
  <si>
    <t>공촌동</t>
    <phoneticPr fontId="1" type="noConversion"/>
  </si>
  <si>
    <t>308-5</t>
    <phoneticPr fontId="1" type="noConversion"/>
  </si>
  <si>
    <t>어린이집</t>
    <phoneticPr fontId="1" type="noConversion"/>
  </si>
  <si>
    <t>우석어린이집</t>
    <phoneticPr fontId="1" type="noConversion"/>
  </si>
  <si>
    <t>연희로42번길 6</t>
    <phoneticPr fontId="1" type="noConversion"/>
  </si>
  <si>
    <t>연희동</t>
    <phoneticPr fontId="1" type="noConversion"/>
  </si>
  <si>
    <t>737-17</t>
    <phoneticPr fontId="1" type="noConversion"/>
  </si>
  <si>
    <t>영스몬테소리어린이집</t>
    <phoneticPr fontId="1" type="noConversion"/>
  </si>
  <si>
    <t>심곡로56번길 17</t>
    <phoneticPr fontId="1" type="noConversion"/>
  </si>
  <si>
    <t>255-7</t>
    <phoneticPr fontId="1" type="noConversion"/>
  </si>
  <si>
    <t>석남어린이집</t>
    <phoneticPr fontId="1" type="noConversion"/>
  </si>
  <si>
    <t>서달로116번길 10</t>
    <phoneticPr fontId="1" type="noConversion"/>
  </si>
  <si>
    <t>산61-1</t>
    <phoneticPr fontId="1" type="noConversion"/>
  </si>
  <si>
    <t>성모어린이집</t>
    <phoneticPr fontId="1" type="noConversion"/>
  </si>
  <si>
    <t>서달로221번길 8-4</t>
    <phoneticPr fontId="1" type="noConversion"/>
  </si>
  <si>
    <t>가정동</t>
    <phoneticPr fontId="1" type="noConversion"/>
  </si>
  <si>
    <t>557</t>
    <phoneticPr fontId="1" type="noConversion"/>
  </si>
  <si>
    <t>꿈이있는어린이집</t>
    <phoneticPr fontId="1" type="noConversion"/>
  </si>
  <si>
    <t>서달로123번안길 19</t>
    <phoneticPr fontId="1" type="noConversion"/>
  </si>
  <si>
    <t>488-12</t>
    <phoneticPr fontId="1" type="noConversion"/>
  </si>
  <si>
    <t>서달로 12</t>
    <phoneticPr fontId="1" type="noConversion"/>
  </si>
  <si>
    <t>326</t>
    <phoneticPr fontId="1" type="noConversion"/>
  </si>
  <si>
    <t>경서동</t>
    <phoneticPr fontId="1" type="noConversion"/>
  </si>
  <si>
    <t>어린이집</t>
    <phoneticPr fontId="1" type="noConversion"/>
  </si>
  <si>
    <t>한샘어린이집</t>
    <phoneticPr fontId="1" type="noConversion"/>
  </si>
  <si>
    <t>승학로 295</t>
    <phoneticPr fontId="1" type="noConversion"/>
  </si>
  <si>
    <t>741-12</t>
    <phoneticPr fontId="1" type="noConversion"/>
  </si>
  <si>
    <t>성심어린이집</t>
    <phoneticPr fontId="1" type="noConversion"/>
  </si>
  <si>
    <t>심곡로 19-10</t>
    <phoneticPr fontId="1" type="noConversion"/>
  </si>
  <si>
    <t>337-9</t>
    <phoneticPr fontId="1" type="noConversion"/>
  </si>
  <si>
    <t>조은어린이집</t>
    <phoneticPr fontId="1" type="noConversion"/>
  </si>
  <si>
    <t>탁옥로 42</t>
    <phoneticPr fontId="1" type="noConversion"/>
  </si>
  <si>
    <t>249-1</t>
    <phoneticPr fontId="1" type="noConversion"/>
  </si>
  <si>
    <t>예쁜한샘어린이집</t>
    <phoneticPr fontId="1" type="noConversion"/>
  </si>
  <si>
    <t>서곶로 365</t>
    <phoneticPr fontId="1" type="noConversion"/>
  </si>
  <si>
    <t>686-4</t>
    <phoneticPr fontId="1" type="noConversion"/>
  </si>
  <si>
    <t>다보혜어린이집</t>
    <phoneticPr fontId="1" type="noConversion"/>
  </si>
  <si>
    <t>염곡로 348</t>
    <phoneticPr fontId="1" type="noConversion"/>
  </si>
  <si>
    <t>289-21</t>
    <phoneticPr fontId="1" type="noConversion"/>
  </si>
  <si>
    <t>아이빌어린이집</t>
    <phoneticPr fontId="1" type="noConversion"/>
  </si>
  <si>
    <t>가정로152번길 12-4</t>
    <phoneticPr fontId="1" type="noConversion"/>
  </si>
  <si>
    <t>114-11</t>
    <phoneticPr fontId="1" type="noConversion"/>
  </si>
  <si>
    <t>검단3동어린이집</t>
    <phoneticPr fontId="1" type="noConversion"/>
  </si>
  <si>
    <t>고산후로161번안길 14</t>
    <phoneticPr fontId="1" type="noConversion"/>
  </si>
  <si>
    <t>805-4</t>
    <phoneticPr fontId="1" type="noConversion"/>
  </si>
  <si>
    <t>그림마을어린이집</t>
    <phoneticPr fontId="1" type="noConversion"/>
  </si>
  <si>
    <t>승학로 597</t>
    <phoneticPr fontId="1" type="noConversion"/>
  </si>
  <si>
    <t>검암동</t>
    <phoneticPr fontId="1" type="noConversion"/>
  </si>
  <si>
    <t>510-2</t>
    <phoneticPr fontId="1" type="noConversion"/>
  </si>
  <si>
    <t>상록수어린이집</t>
    <phoneticPr fontId="1" type="noConversion"/>
  </si>
  <si>
    <t>장고개로 270-5</t>
    <phoneticPr fontId="1" type="noConversion"/>
  </si>
  <si>
    <t>328-2</t>
    <phoneticPr fontId="1" type="noConversion"/>
  </si>
  <si>
    <t>하늘의별어린이집</t>
    <phoneticPr fontId="1" type="noConversion"/>
  </si>
  <si>
    <t>새오개로85번길 2</t>
    <phoneticPr fontId="1" type="noConversion"/>
  </si>
  <si>
    <t>116-7</t>
    <phoneticPr fontId="1" type="noConversion"/>
  </si>
  <si>
    <t>해그림어린이집</t>
    <phoneticPr fontId="1" type="noConversion"/>
  </si>
  <si>
    <t>고산로45번길 16</t>
    <phoneticPr fontId="1" type="noConversion"/>
  </si>
  <si>
    <t>841-2</t>
    <phoneticPr fontId="1" type="noConversion"/>
  </si>
  <si>
    <t>JK글로벌어린이집</t>
    <phoneticPr fontId="1" type="noConversion"/>
  </si>
  <si>
    <t>거북로 71</t>
    <phoneticPr fontId="1" type="noConversion"/>
  </si>
  <si>
    <t>529-29</t>
    <phoneticPr fontId="1" type="noConversion"/>
  </si>
  <si>
    <t>동심어린이집</t>
    <phoneticPr fontId="1" type="noConversion"/>
  </si>
  <si>
    <t>고산로45번길 28</t>
    <phoneticPr fontId="1" type="noConversion"/>
  </si>
  <si>
    <t>834-3</t>
    <phoneticPr fontId="1" type="noConversion"/>
  </si>
  <si>
    <t>승학로450번길 17-10</t>
    <phoneticPr fontId="1" type="noConversion"/>
  </si>
  <si>
    <t>618-3</t>
    <phoneticPr fontId="1" type="noConversion"/>
  </si>
  <si>
    <t>율도로16번길 3</t>
    <phoneticPr fontId="1" type="noConversion"/>
  </si>
  <si>
    <t>199-94</t>
    <phoneticPr fontId="1" type="noConversion"/>
  </si>
  <si>
    <t>작은꽃어린이집</t>
    <phoneticPr fontId="1" type="noConversion"/>
  </si>
  <si>
    <t>건지로250번길 18</t>
    <phoneticPr fontId="1" type="noConversion"/>
  </si>
  <si>
    <t>119-28</t>
    <phoneticPr fontId="1" type="noConversion"/>
  </si>
  <si>
    <t>당하어린이집</t>
    <phoneticPr fontId="1" type="noConversion"/>
  </si>
  <si>
    <t>당하동</t>
    <phoneticPr fontId="1" type="noConversion"/>
  </si>
  <si>
    <t>1082-12</t>
    <phoneticPr fontId="1" type="noConversion"/>
  </si>
  <si>
    <t>신석로111번길 13</t>
    <phoneticPr fontId="1" type="noConversion"/>
  </si>
  <si>
    <t>458-8</t>
    <phoneticPr fontId="1" type="noConversion"/>
  </si>
  <si>
    <t>행복나무어린이집</t>
    <phoneticPr fontId="1" type="noConversion"/>
  </si>
  <si>
    <t>완정로64번길 18</t>
    <phoneticPr fontId="1" type="noConversion"/>
  </si>
  <si>
    <t>마전동</t>
    <phoneticPr fontId="1" type="noConversion"/>
  </si>
  <si>
    <t>1000-6</t>
    <phoneticPr fontId="1" type="noConversion"/>
  </si>
  <si>
    <t>호정숲속어린이집</t>
    <phoneticPr fontId="1" type="noConversion"/>
  </si>
  <si>
    <t>751-3</t>
    <phoneticPr fontId="1" type="noConversion"/>
  </si>
  <si>
    <t>건지로284번길 56-4</t>
    <phoneticPr fontId="1" type="noConversion"/>
  </si>
  <si>
    <t>145-55</t>
    <phoneticPr fontId="1" type="noConversion"/>
  </si>
  <si>
    <t>주은색동원어린이집</t>
    <phoneticPr fontId="1" type="noConversion"/>
  </si>
  <si>
    <t>승학로288번길 5-10</t>
    <phoneticPr fontId="1" type="noConversion"/>
  </si>
  <si>
    <t>689-21</t>
    <phoneticPr fontId="1" type="noConversion"/>
  </si>
  <si>
    <t>서구청직장어린이집</t>
    <phoneticPr fontId="1" type="noConversion"/>
  </si>
  <si>
    <t>승학로 264</t>
    <phoneticPr fontId="1" type="noConversion"/>
  </si>
  <si>
    <t>241-2</t>
    <phoneticPr fontId="1" type="noConversion"/>
  </si>
  <si>
    <t>초등학교</t>
    <phoneticPr fontId="1" type="noConversion"/>
  </si>
  <si>
    <t>청마로 55</t>
    <phoneticPr fontId="1" type="noConversion"/>
  </si>
  <si>
    <t>1084-1</t>
    <phoneticPr fontId="1" type="noConversion"/>
  </si>
  <si>
    <t>크리스탈로 130</t>
    <phoneticPr fontId="1" type="noConversion"/>
  </si>
  <si>
    <t>청라동</t>
    <phoneticPr fontId="1" type="noConversion"/>
  </si>
  <si>
    <t>139-2</t>
    <phoneticPr fontId="1" type="noConversion"/>
  </si>
  <si>
    <t>청라커낼로 336</t>
    <phoneticPr fontId="1" type="noConversion"/>
  </si>
  <si>
    <t>149-1</t>
    <phoneticPr fontId="1" type="noConversion"/>
  </si>
  <si>
    <t>은하수어린이집</t>
    <phoneticPr fontId="1" type="noConversion"/>
  </si>
  <si>
    <t>장고개로275번길 20-1</t>
    <phoneticPr fontId="1" type="noConversion"/>
  </si>
  <si>
    <t>241-16</t>
    <phoneticPr fontId="1" type="noConversion"/>
  </si>
  <si>
    <t>청라사파이어로140번길 5</t>
    <phoneticPr fontId="1" type="noConversion"/>
  </si>
  <si>
    <t>103-3</t>
    <phoneticPr fontId="1" type="noConversion"/>
  </si>
  <si>
    <t>경서유치원</t>
    <phoneticPr fontId="1" type="noConversion"/>
  </si>
  <si>
    <t>경서로56번길 7-2</t>
    <phoneticPr fontId="1" type="noConversion"/>
  </si>
  <si>
    <t>736-12</t>
    <phoneticPr fontId="1" type="noConversion"/>
  </si>
  <si>
    <t>서연어린이집</t>
    <phoneticPr fontId="1" type="noConversion"/>
  </si>
  <si>
    <t>승학로506번길 17</t>
    <phoneticPr fontId="1" type="noConversion"/>
  </si>
  <si>
    <t>620-9</t>
    <phoneticPr fontId="1" type="noConversion"/>
  </si>
  <si>
    <t>예인유치원</t>
    <phoneticPr fontId="1" type="noConversion"/>
  </si>
  <si>
    <t>원당대로819번길 3</t>
    <phoneticPr fontId="1" type="noConversion"/>
  </si>
  <si>
    <t>811-8</t>
    <phoneticPr fontId="1" type="noConversion"/>
  </si>
  <si>
    <t>예빛유치원</t>
    <phoneticPr fontId="1" type="noConversion"/>
  </si>
  <si>
    <t>경서로32번길 18</t>
    <phoneticPr fontId="1" type="noConversion"/>
  </si>
  <si>
    <t>765-2</t>
    <phoneticPr fontId="1" type="noConversion"/>
  </si>
  <si>
    <t>완정로188번2길 3</t>
    <phoneticPr fontId="1" type="noConversion"/>
  </si>
  <si>
    <t>마전동</t>
    <phoneticPr fontId="1" type="noConversion"/>
  </si>
  <si>
    <t>900-4</t>
    <phoneticPr fontId="1" type="noConversion"/>
  </si>
  <si>
    <t>새오개로54번길 11</t>
    <phoneticPr fontId="1" type="noConversion"/>
  </si>
  <si>
    <t>155-2</t>
    <phoneticPr fontId="1" type="noConversion"/>
  </si>
  <si>
    <t>프라임이화어린이집</t>
    <phoneticPr fontId="1" type="noConversion"/>
  </si>
  <si>
    <t>봉화로85번길 48</t>
    <phoneticPr fontId="1" type="noConversion"/>
  </si>
  <si>
    <t>오류동</t>
    <phoneticPr fontId="1" type="noConversion"/>
  </si>
  <si>
    <t>774-1</t>
    <phoneticPr fontId="1" type="noConversion"/>
  </si>
  <si>
    <t>가원초등학교</t>
    <phoneticPr fontId="1" type="noConversion"/>
  </si>
  <si>
    <t>청중로478번길 6</t>
    <phoneticPr fontId="1" type="noConversion"/>
  </si>
  <si>
    <t>가정동</t>
    <phoneticPr fontId="1" type="noConversion"/>
  </si>
  <si>
    <t>71-134</t>
    <phoneticPr fontId="1" type="noConversion"/>
  </si>
  <si>
    <t>드림유치원</t>
    <phoneticPr fontId="1" type="noConversion"/>
  </si>
  <si>
    <t>청라커낼로223번길 13</t>
    <phoneticPr fontId="1" type="noConversion"/>
  </si>
  <si>
    <t>182-3</t>
    <phoneticPr fontId="1" type="noConversion"/>
  </si>
  <si>
    <t>승학로197번길 20-10</t>
    <phoneticPr fontId="1" type="noConversion"/>
  </si>
  <si>
    <t>342-5</t>
    <phoneticPr fontId="1" type="noConversion"/>
  </si>
  <si>
    <t>봉오재3로 45</t>
    <phoneticPr fontId="1" type="noConversion"/>
  </si>
  <si>
    <t>608-1</t>
    <phoneticPr fontId="1" type="noConversion"/>
  </si>
  <si>
    <t>학원</t>
    <phoneticPr fontId="1" type="noConversion"/>
  </si>
  <si>
    <t>차이코프스키음악학원</t>
    <phoneticPr fontId="1" type="noConversion"/>
  </si>
  <si>
    <t>청마로167번길 8</t>
    <phoneticPr fontId="1" type="noConversion"/>
  </si>
  <si>
    <t>1095-7</t>
    <phoneticPr fontId="1" type="noConversion"/>
  </si>
  <si>
    <t>외국인학교</t>
    <phoneticPr fontId="1" type="noConversion"/>
  </si>
  <si>
    <t>청라달튼외국인학교</t>
    <phoneticPr fontId="1" type="noConversion"/>
  </si>
  <si>
    <t>첨단동로 344</t>
    <phoneticPr fontId="1" type="noConversion"/>
  </si>
  <si>
    <t>8-128</t>
    <phoneticPr fontId="1" type="noConversion"/>
  </si>
  <si>
    <t>새오개로111번안길 7</t>
    <phoneticPr fontId="1" type="noConversion"/>
  </si>
  <si>
    <t>307-15</t>
    <phoneticPr fontId="1" type="noConversion"/>
  </si>
  <si>
    <t>수피아어린이집</t>
    <phoneticPr fontId="1" type="noConversion"/>
  </si>
  <si>
    <t>경서로18번길 7-6</t>
    <phoneticPr fontId="1" type="noConversion"/>
  </si>
  <si>
    <t>763-6</t>
    <phoneticPr fontId="1" type="noConversion"/>
  </si>
  <si>
    <t>동화나라어린이집</t>
    <phoneticPr fontId="1" type="noConversion"/>
  </si>
  <si>
    <t>가경주로10번길 14-11</t>
    <phoneticPr fontId="1" type="noConversion"/>
  </si>
  <si>
    <t>527-29</t>
    <phoneticPr fontId="1" type="noConversion"/>
  </si>
  <si>
    <t>아소비검암센터학원</t>
    <phoneticPr fontId="1" type="noConversion"/>
  </si>
  <si>
    <t>도요지로202번길 6-2</t>
    <phoneticPr fontId="1" type="noConversion"/>
  </si>
  <si>
    <t>678-4</t>
    <phoneticPr fontId="1" type="noConversion"/>
  </si>
  <si>
    <t>초등학교</t>
    <phoneticPr fontId="1" type="noConversion"/>
  </si>
  <si>
    <t>청라커낼로 217</t>
    <phoneticPr fontId="1" type="noConversion"/>
  </si>
  <si>
    <t>178-8</t>
    <phoneticPr fontId="1" type="noConversion"/>
  </si>
  <si>
    <t>세라유치원</t>
    <phoneticPr fontId="1" type="noConversion"/>
  </si>
  <si>
    <t>경서로 80</t>
    <phoneticPr fontId="1" type="noConversion"/>
  </si>
  <si>
    <t>726-1</t>
    <phoneticPr fontId="1" type="noConversion"/>
  </si>
  <si>
    <t>해움어린이집</t>
    <phoneticPr fontId="1" type="noConversion"/>
  </si>
  <si>
    <t>푸른로13번길 13</t>
    <phoneticPr fontId="1" type="noConversion"/>
  </si>
  <si>
    <t>105-74</t>
    <phoneticPr fontId="1" type="noConversion"/>
  </si>
  <si>
    <t>수정어린이천국어린이집</t>
    <phoneticPr fontId="1" type="noConversion"/>
  </si>
  <si>
    <t>불로로 64</t>
    <phoneticPr fontId="1" type="noConversion"/>
  </si>
  <si>
    <t>불로동</t>
    <phoneticPr fontId="1" type="noConversion"/>
  </si>
  <si>
    <t>416-4</t>
    <phoneticPr fontId="1" type="noConversion"/>
  </si>
  <si>
    <t>제일퍼스트어린이집</t>
    <phoneticPr fontId="1" type="noConversion"/>
  </si>
  <si>
    <t>보석로12번길 21</t>
    <phoneticPr fontId="1" type="noConversion"/>
  </si>
  <si>
    <t>104-163</t>
    <phoneticPr fontId="1" type="noConversion"/>
  </si>
  <si>
    <t>1996-01-04</t>
    <phoneticPr fontId="1" type="noConversion"/>
  </si>
  <si>
    <t>1995-01-01</t>
    <phoneticPr fontId="1" type="noConversion"/>
  </si>
  <si>
    <t>1995-01-02</t>
    <phoneticPr fontId="1" type="noConversion"/>
  </si>
  <si>
    <t>1997-01-12</t>
    <phoneticPr fontId="1" type="noConversion"/>
  </si>
  <si>
    <t>2000-01-19</t>
    <phoneticPr fontId="1" type="noConversion"/>
  </si>
  <si>
    <t>2001-01-20</t>
    <phoneticPr fontId="1" type="noConversion"/>
  </si>
  <si>
    <t>2005-01-32</t>
    <phoneticPr fontId="1" type="noConversion"/>
  </si>
  <si>
    <t>2006-03-02</t>
    <phoneticPr fontId="1" type="noConversion"/>
  </si>
  <si>
    <t>2006-03-03</t>
    <phoneticPr fontId="1" type="noConversion"/>
  </si>
  <si>
    <t>2006-03-05</t>
    <phoneticPr fontId="1" type="noConversion"/>
  </si>
  <si>
    <t>2006-03-07</t>
    <phoneticPr fontId="1" type="noConversion"/>
  </si>
  <si>
    <t>2011-01-36</t>
    <phoneticPr fontId="1" type="noConversion"/>
  </si>
  <si>
    <t>2011-02-30</t>
    <phoneticPr fontId="1" type="noConversion"/>
  </si>
  <si>
    <t>2012-01-37</t>
    <phoneticPr fontId="1" type="noConversion"/>
  </si>
  <si>
    <t>2012-01-38</t>
    <phoneticPr fontId="1" type="noConversion"/>
  </si>
  <si>
    <t>2012-02-34</t>
    <phoneticPr fontId="1" type="noConversion"/>
  </si>
  <si>
    <t>2012-02-36</t>
    <phoneticPr fontId="1" type="noConversion"/>
  </si>
  <si>
    <t>2012-02-37</t>
    <phoneticPr fontId="1" type="noConversion"/>
  </si>
  <si>
    <t>2012-03-10</t>
    <phoneticPr fontId="1" type="noConversion"/>
  </si>
  <si>
    <t>2012-03-12</t>
    <phoneticPr fontId="1" type="noConversion"/>
  </si>
  <si>
    <t>2012-03-13</t>
    <phoneticPr fontId="1" type="noConversion"/>
  </si>
  <si>
    <t>2012-03-14</t>
    <phoneticPr fontId="1" type="noConversion"/>
  </si>
  <si>
    <t>2012-03-15</t>
    <phoneticPr fontId="1" type="noConversion"/>
  </si>
  <si>
    <t>2012-03-16</t>
    <phoneticPr fontId="1" type="noConversion"/>
  </si>
  <si>
    <t>2012-03-18</t>
    <phoneticPr fontId="1" type="noConversion"/>
  </si>
  <si>
    <t>2012-03-19</t>
    <phoneticPr fontId="1" type="noConversion"/>
  </si>
  <si>
    <t>2012-03-09</t>
    <phoneticPr fontId="1" type="noConversion"/>
  </si>
  <si>
    <t>2013-01-39</t>
    <phoneticPr fontId="1" type="noConversion"/>
  </si>
  <si>
    <t>2013-02-40</t>
    <phoneticPr fontId="1" type="noConversion"/>
  </si>
  <si>
    <t>2013-02-41</t>
    <phoneticPr fontId="1" type="noConversion"/>
  </si>
  <si>
    <t>2013-02-38</t>
    <phoneticPr fontId="1" type="noConversion"/>
  </si>
  <si>
    <t>구립가좌1동어린이집</t>
    <phoneticPr fontId="1" type="noConversion"/>
  </si>
  <si>
    <t>2013-03-20</t>
    <phoneticPr fontId="1" type="noConversion"/>
  </si>
  <si>
    <t>2013-03-21</t>
    <phoneticPr fontId="1" type="noConversion"/>
  </si>
  <si>
    <t>2013-03-22</t>
    <phoneticPr fontId="1" type="noConversion"/>
  </si>
  <si>
    <t>2013-03-23</t>
    <phoneticPr fontId="1" type="noConversion"/>
  </si>
  <si>
    <t>2013-03-24</t>
    <phoneticPr fontId="1" type="noConversion"/>
  </si>
  <si>
    <t>2013-03-26</t>
    <phoneticPr fontId="1" type="noConversion"/>
  </si>
  <si>
    <t>2013-03-27</t>
    <phoneticPr fontId="1" type="noConversion"/>
  </si>
  <si>
    <t>2013-03-28</t>
    <phoneticPr fontId="1" type="noConversion"/>
  </si>
  <si>
    <t>2013-03-29</t>
    <phoneticPr fontId="1" type="noConversion"/>
  </si>
  <si>
    <t>2013-03-30</t>
    <phoneticPr fontId="1" type="noConversion"/>
  </si>
  <si>
    <t>예빛+e예빛통합어린이집</t>
    <phoneticPr fontId="1" type="noConversion"/>
  </si>
  <si>
    <t>경서로32번길 3-8
경서로32번길 7-7</t>
    <phoneticPr fontId="1" type="noConversion"/>
  </si>
  <si>
    <t>756-2
756-8</t>
    <phoneticPr fontId="1" type="noConversion"/>
  </si>
  <si>
    <t>2013-03-31</t>
    <phoneticPr fontId="1" type="noConversion"/>
  </si>
  <si>
    <t>2013-03-32</t>
    <phoneticPr fontId="1" type="noConversion"/>
  </si>
  <si>
    <t>2013-03-33</t>
    <phoneticPr fontId="1" type="noConversion"/>
  </si>
  <si>
    <t>2014-03-36</t>
    <phoneticPr fontId="1" type="noConversion"/>
  </si>
  <si>
    <t>2015-03-37</t>
    <phoneticPr fontId="1" type="noConversion"/>
  </si>
  <si>
    <t>2015-03-39</t>
    <phoneticPr fontId="1" type="noConversion"/>
  </si>
  <si>
    <t>2015-03-38</t>
    <phoneticPr fontId="1" type="noConversion"/>
  </si>
  <si>
    <t>2015-03-40</t>
    <phoneticPr fontId="1" type="noConversion"/>
  </si>
  <si>
    <t>2015-03-41</t>
    <phoneticPr fontId="1" type="noConversion"/>
  </si>
  <si>
    <t>2015-03-42</t>
    <phoneticPr fontId="1" type="noConversion"/>
  </si>
  <si>
    <t>2015-03-43</t>
    <phoneticPr fontId="1" type="noConversion"/>
  </si>
  <si>
    <t>2015-03-44</t>
    <phoneticPr fontId="1" type="noConversion"/>
  </si>
  <si>
    <t>2015-03-45</t>
    <phoneticPr fontId="1" type="noConversion"/>
  </si>
  <si>
    <t>2016-01-42</t>
    <phoneticPr fontId="1" type="noConversion"/>
  </si>
  <si>
    <t>2016-02-46</t>
    <phoneticPr fontId="1" type="noConversion"/>
  </si>
  <si>
    <t>2016-03-44</t>
    <phoneticPr fontId="1" type="noConversion"/>
  </si>
  <si>
    <t>구립검단어린이집</t>
    <phoneticPr fontId="1" type="noConversion"/>
  </si>
  <si>
    <t>2016-03-45</t>
    <phoneticPr fontId="1" type="noConversion"/>
  </si>
  <si>
    <t>구립신현어린이집</t>
    <phoneticPr fontId="1" type="noConversion"/>
  </si>
  <si>
    <t>2016-03-46</t>
    <phoneticPr fontId="1" type="noConversion"/>
  </si>
  <si>
    <t>2016-03-47</t>
    <phoneticPr fontId="1" type="noConversion"/>
  </si>
  <si>
    <t>2017-01-43</t>
    <phoneticPr fontId="1" type="noConversion"/>
  </si>
  <si>
    <t>구립석남제일어린이집</t>
    <phoneticPr fontId="1" type="noConversion"/>
  </si>
  <si>
    <t>2017-03-49</t>
    <phoneticPr fontId="1" type="noConversion"/>
  </si>
  <si>
    <t>2017-05-01</t>
    <phoneticPr fontId="1" type="noConversion"/>
  </si>
  <si>
    <t>2018-01-43</t>
    <phoneticPr fontId="1" type="noConversion"/>
  </si>
  <si>
    <t>2018-02-47</t>
    <phoneticPr fontId="1" type="noConversion"/>
  </si>
  <si>
    <t>2018-03-50</t>
    <phoneticPr fontId="1" type="noConversion"/>
  </si>
  <si>
    <t>2018-03-51</t>
    <phoneticPr fontId="1" type="noConversion"/>
  </si>
  <si>
    <t>2018-03-52</t>
    <phoneticPr fontId="1" type="noConversion"/>
  </si>
  <si>
    <t>2020-03-53</t>
    <phoneticPr fontId="1" type="noConversion"/>
  </si>
  <si>
    <t>행복한어린이집</t>
    <phoneticPr fontId="1" type="noConversion"/>
  </si>
  <si>
    <t>완정로45번안길 2</t>
    <phoneticPr fontId="1" type="noConversion"/>
  </si>
  <si>
    <t>1024-1</t>
    <phoneticPr fontId="1" type="noConversion"/>
  </si>
  <si>
    <t>2020-01-44</t>
    <phoneticPr fontId="1" type="noConversion"/>
  </si>
  <si>
    <t>84-2</t>
    <phoneticPr fontId="1" type="noConversion"/>
  </si>
  <si>
    <t>2020-04-01</t>
    <phoneticPr fontId="1" type="noConversion"/>
  </si>
  <si>
    <t>특수학교</t>
    <phoneticPr fontId="1" type="noConversion"/>
  </si>
  <si>
    <t>779-4</t>
    <phoneticPr fontId="1" type="noConversion"/>
  </si>
  <si>
    <t>경서로14번길 52</t>
    <phoneticPr fontId="1" type="noConversion"/>
  </si>
  <si>
    <t>통합학교</t>
    <phoneticPr fontId="1" type="noConversion"/>
  </si>
  <si>
    <t>서현유치원</t>
    <phoneticPr fontId="1" type="noConversion"/>
  </si>
  <si>
    <t>백석초등학교</t>
    <phoneticPr fontId="1" type="noConversion"/>
  </si>
  <si>
    <t>경명초등학교</t>
    <phoneticPr fontId="1" type="noConversion"/>
  </si>
  <si>
    <t>청람초등학교</t>
    <phoneticPr fontId="1" type="noConversion"/>
  </si>
  <si>
    <t>해원초등학교</t>
    <phoneticPr fontId="1" type="noConversion"/>
  </si>
  <si>
    <t>도담초등학교</t>
    <phoneticPr fontId="1" type="noConversion"/>
  </si>
  <si>
    <t>경연초중학교</t>
    <phoneticPr fontId="1" type="noConversion"/>
  </si>
  <si>
    <t>서희학교</t>
    <phoneticPr fontId="1" type="noConversion"/>
  </si>
  <si>
    <t>마리아의집</t>
    <phoneticPr fontId="1" type="noConversion"/>
  </si>
  <si>
    <t>원당대로820번2길 5</t>
    <phoneticPr fontId="1" type="noConversion"/>
  </si>
  <si>
    <t>676-2</t>
    <phoneticPr fontId="1" type="noConversion"/>
  </si>
  <si>
    <t>서부여성회관어린이집</t>
    <phoneticPr fontId="1" type="noConversion"/>
  </si>
  <si>
    <t>청마로51번길 19</t>
    <phoneticPr fontId="1" type="noConversion"/>
  </si>
  <si>
    <t>2020-05-13</t>
    <phoneticPr fontId="1" type="noConversion"/>
  </si>
  <si>
    <t>아트아이 미술학원</t>
    <phoneticPr fontId="1" type="noConversion"/>
  </si>
  <si>
    <t>솔빛로 82, 새롬상가 2층</t>
    <phoneticPr fontId="1" type="noConversion"/>
  </si>
  <si>
    <t>105-47</t>
    <phoneticPr fontId="1" type="noConversion"/>
  </si>
  <si>
    <t>1996-01-03</t>
    <phoneticPr fontId="1" type="noConversion"/>
  </si>
  <si>
    <t>1996-01-05</t>
    <phoneticPr fontId="1" type="noConversion"/>
  </si>
  <si>
    <t>1996-01-06</t>
    <phoneticPr fontId="1" type="noConversion"/>
  </si>
  <si>
    <t>1996-01-07</t>
    <phoneticPr fontId="1" type="noConversion"/>
  </si>
  <si>
    <t>1996-01-08</t>
    <phoneticPr fontId="1" type="noConversion"/>
  </si>
  <si>
    <t>1996-01-09</t>
    <phoneticPr fontId="1" type="noConversion"/>
  </si>
  <si>
    <t>1997-01-11</t>
    <phoneticPr fontId="1" type="noConversion"/>
  </si>
  <si>
    <t>1997-01-13</t>
    <phoneticPr fontId="1" type="noConversion"/>
  </si>
  <si>
    <t>1997-01-14</t>
    <phoneticPr fontId="1" type="noConversion"/>
  </si>
  <si>
    <t>1997-01-15</t>
    <phoneticPr fontId="1" type="noConversion"/>
  </si>
  <si>
    <t>1999-01-16</t>
    <phoneticPr fontId="1" type="noConversion"/>
  </si>
  <si>
    <t>1999-01-17</t>
    <phoneticPr fontId="1" type="noConversion"/>
  </si>
  <si>
    <t>2000-01-18</t>
    <phoneticPr fontId="1" type="noConversion"/>
  </si>
  <si>
    <t>2002-01-21</t>
    <phoneticPr fontId="1" type="noConversion"/>
  </si>
  <si>
    <t>2002-01-22</t>
    <phoneticPr fontId="1" type="noConversion"/>
  </si>
  <si>
    <t>2003-01-23</t>
    <phoneticPr fontId="1" type="noConversion"/>
  </si>
  <si>
    <t>2003-01-24</t>
    <phoneticPr fontId="1" type="noConversion"/>
  </si>
  <si>
    <t>2004-01-25</t>
    <phoneticPr fontId="1" type="noConversion"/>
  </si>
  <si>
    <t>2004-01-26</t>
    <phoneticPr fontId="1" type="noConversion"/>
  </si>
  <si>
    <t>2004-01-27</t>
    <phoneticPr fontId="1" type="noConversion"/>
  </si>
  <si>
    <t>2004-01-28</t>
    <phoneticPr fontId="1" type="noConversion"/>
  </si>
  <si>
    <t>2004-01-29</t>
    <phoneticPr fontId="1" type="noConversion"/>
  </si>
  <si>
    <t>2005-01-30</t>
    <phoneticPr fontId="1" type="noConversion"/>
  </si>
  <si>
    <t>2005-01-31</t>
    <phoneticPr fontId="1" type="noConversion"/>
  </si>
  <si>
    <t>2006-01-33</t>
    <phoneticPr fontId="1" type="noConversion"/>
  </si>
  <si>
    <t>2007-01-34</t>
    <phoneticPr fontId="1" type="noConversion"/>
  </si>
  <si>
    <t>2007-01-35</t>
    <phoneticPr fontId="1" type="noConversion"/>
  </si>
  <si>
    <t>1997-02-04</t>
    <phoneticPr fontId="1" type="noConversion"/>
  </si>
  <si>
    <t>1997-02-05</t>
    <phoneticPr fontId="1" type="noConversion"/>
  </si>
  <si>
    <t>1998-02-07</t>
    <phoneticPr fontId="1" type="noConversion"/>
  </si>
  <si>
    <t>1999-02-11</t>
    <phoneticPr fontId="1" type="noConversion"/>
  </si>
  <si>
    <t>1999-02-12</t>
    <phoneticPr fontId="1" type="noConversion"/>
  </si>
  <si>
    <t>1999-02-13</t>
    <phoneticPr fontId="1" type="noConversion"/>
  </si>
  <si>
    <t>2000-02-16</t>
    <phoneticPr fontId="1" type="noConversion"/>
  </si>
  <si>
    <t>2000-02-17</t>
    <phoneticPr fontId="1" type="noConversion"/>
  </si>
  <si>
    <t>2000-02-18</t>
    <phoneticPr fontId="1" type="noConversion"/>
  </si>
  <si>
    <t>2000-02-19</t>
    <phoneticPr fontId="1" type="noConversion"/>
  </si>
  <si>
    <t>2000-02-20</t>
    <phoneticPr fontId="1" type="noConversion"/>
  </si>
  <si>
    <t>2001-02-21</t>
    <phoneticPr fontId="1" type="noConversion"/>
  </si>
  <si>
    <t>2001-02-22</t>
    <phoneticPr fontId="1" type="noConversion"/>
  </si>
  <si>
    <t>2001-02-24</t>
    <phoneticPr fontId="1" type="noConversion"/>
  </si>
  <si>
    <t>2001-02-27</t>
    <phoneticPr fontId="1" type="noConversion"/>
  </si>
  <si>
    <t>2001-02-28</t>
    <phoneticPr fontId="1" type="noConversion"/>
  </si>
  <si>
    <t>2009-02-29</t>
    <phoneticPr fontId="1" type="noConversion"/>
  </si>
  <si>
    <t>2006-03-08</t>
    <phoneticPr fontId="1" type="noConversion"/>
  </si>
  <si>
    <t>2013-03-25</t>
    <phoneticPr fontId="1" type="noConversion"/>
  </si>
  <si>
    <t>2013-03-34</t>
    <phoneticPr fontId="1" type="noConversion"/>
  </si>
  <si>
    <t>2013-03-35</t>
    <phoneticPr fontId="1" type="noConversion"/>
  </si>
  <si>
    <t>2012-02-33</t>
    <phoneticPr fontId="1" type="noConversion"/>
  </si>
  <si>
    <t>차오름로 64</t>
    <phoneticPr fontId="1" type="noConversion"/>
  </si>
  <si>
    <t>독정로 44-4</t>
    <phoneticPr fontId="1" type="noConversion"/>
  </si>
  <si>
    <t>더꿈나무어린이집</t>
    <phoneticPr fontId="1" type="noConversion"/>
  </si>
  <si>
    <t>구립두루누리어린이집</t>
    <phoneticPr fontId="1" type="noConversion"/>
  </si>
  <si>
    <t>인천근로복지공단어린이집</t>
    <phoneticPr fontId="1" type="noConversion"/>
  </si>
  <si>
    <t>2020-10-52</t>
    <phoneticPr fontId="1" type="noConversion"/>
  </si>
  <si>
    <t>유치원</t>
    <phoneticPr fontId="1" type="noConversion"/>
  </si>
  <si>
    <t>청라6유치원</t>
    <phoneticPr fontId="1" type="noConversion"/>
  </si>
  <si>
    <t>청라동</t>
    <phoneticPr fontId="1" type="noConversion"/>
  </si>
  <si>
    <t>84-5</t>
    <phoneticPr fontId="1" type="noConversion"/>
  </si>
  <si>
    <t>2020-10-53</t>
    <phoneticPr fontId="1" type="noConversion"/>
  </si>
  <si>
    <t>청호초중학교</t>
    <phoneticPr fontId="1" type="noConversion"/>
  </si>
  <si>
    <t>140-2</t>
    <phoneticPr fontId="1" type="noConversion"/>
  </si>
  <si>
    <t>2020-10-54</t>
    <phoneticPr fontId="1" type="noConversion"/>
  </si>
  <si>
    <t>어린이집</t>
    <phoneticPr fontId="1" type="noConversion"/>
  </si>
  <si>
    <t>신나는어린이집</t>
    <phoneticPr fontId="1" type="noConversion"/>
  </si>
  <si>
    <t>거북로 109번길 29</t>
    <phoneticPr fontId="1" type="noConversion"/>
  </si>
  <si>
    <t>2020-10-55</t>
    <phoneticPr fontId="1" type="noConversion"/>
  </si>
  <si>
    <t>2020-10-56</t>
    <phoneticPr fontId="1" type="noConversion"/>
  </si>
  <si>
    <t>2020-10-57</t>
    <phoneticPr fontId="1" type="noConversion"/>
  </si>
  <si>
    <t>초등학교</t>
    <phoneticPr fontId="1" type="noConversion"/>
  </si>
  <si>
    <t>검단5초등학교</t>
    <phoneticPr fontId="1" type="noConversion"/>
  </si>
  <si>
    <t>검단11유치원</t>
    <phoneticPr fontId="1" type="noConversion"/>
  </si>
  <si>
    <t>당하동</t>
    <phoneticPr fontId="1" type="noConversion"/>
  </si>
  <si>
    <t>산47-2</t>
    <phoneticPr fontId="1" type="noConversion"/>
  </si>
  <si>
    <t>원당동</t>
    <phoneticPr fontId="1" type="noConversion"/>
  </si>
  <si>
    <t>309</t>
    <phoneticPr fontId="1" type="noConversion"/>
  </si>
  <si>
    <t>249</t>
    <phoneticPr fontId="1" type="noConversion"/>
  </si>
  <si>
    <t>석남동</t>
    <phoneticPr fontId="1" type="noConversion"/>
  </si>
  <si>
    <t>544-7</t>
    <phoneticPr fontId="1" type="noConversion"/>
  </si>
  <si>
    <t>2021-01-11</t>
    <phoneticPr fontId="1" type="noConversion"/>
  </si>
  <si>
    <t>어린이집</t>
    <phoneticPr fontId="1" type="noConversion"/>
  </si>
  <si>
    <t>이삭어린이집</t>
    <phoneticPr fontId="1" type="noConversion"/>
  </si>
  <si>
    <t>도요지로227번길 18</t>
    <phoneticPr fontId="1" type="noConversion"/>
  </si>
  <si>
    <t>검암동</t>
    <phoneticPr fontId="1" type="noConversion"/>
  </si>
  <si>
    <t>655-3</t>
    <phoneticPr fontId="1" type="noConversion"/>
  </si>
  <si>
    <t>( 기준일 : 2021. 1. 18. )</t>
    <phoneticPr fontId="1" type="noConversion"/>
  </si>
  <si>
    <t>□ 보호구역 지정·관리 현황</t>
    <phoneticPr fontId="1" type="noConversion"/>
  </si>
  <si>
    <t>구분</t>
    <phoneticPr fontId="1" type="noConversion"/>
  </si>
  <si>
    <t>지정대상
(개소)</t>
    <phoneticPr fontId="1" type="noConversion"/>
  </si>
  <si>
    <t>지정현황
(개소)</t>
    <phoneticPr fontId="1" type="noConversion"/>
  </si>
  <si>
    <t>보호구역 총연장
(km)</t>
    <phoneticPr fontId="1" type="noConversion"/>
  </si>
  <si>
    <t>어린이
보호구역</t>
    <phoneticPr fontId="1" type="noConversion"/>
  </si>
  <si>
    <t>합계</t>
    <phoneticPr fontId="1" type="noConversion"/>
  </si>
  <si>
    <t>노인
보호구역</t>
    <phoneticPr fontId="1" type="noConversion"/>
  </si>
  <si>
    <t>노인주거복지시설</t>
    <phoneticPr fontId="1" type="noConversion"/>
  </si>
  <si>
    <t>노인여가복지시설</t>
    <phoneticPr fontId="1" type="noConversion"/>
  </si>
  <si>
    <t>노인의료복지시설</t>
    <phoneticPr fontId="1" type="noConversion"/>
  </si>
  <si>
    <t>자연공원</t>
    <phoneticPr fontId="1" type="noConversion"/>
  </si>
  <si>
    <t>도시공원</t>
    <phoneticPr fontId="1" type="noConversion"/>
  </si>
  <si>
    <t>생활체육시설</t>
    <phoneticPr fontId="1" type="noConversion"/>
  </si>
  <si>
    <t>장애인
보호구역</t>
    <phoneticPr fontId="1" type="noConversion"/>
  </si>
  <si>
    <t>장애인재활시설</t>
    <phoneticPr fontId="1" type="noConversion"/>
  </si>
  <si>
    <t>□ 보호구역 내 교통안전시설 설치·관리 현황</t>
    <phoneticPr fontId="1" type="noConversion"/>
  </si>
  <si>
    <t>교통신호기
(기)</t>
    <phoneticPr fontId="1" type="noConversion"/>
  </si>
  <si>
    <t>교통안전표지
(개)</t>
    <phoneticPr fontId="1" type="noConversion"/>
  </si>
  <si>
    <t>노면표시
(개소)</t>
    <phoneticPr fontId="1" type="noConversion"/>
  </si>
  <si>
    <t>□ 보호구역 내 도로부속물 설치·관리 현황</t>
    <phoneticPr fontId="1" type="noConversion"/>
  </si>
  <si>
    <t>도로표지
(개)</t>
    <phoneticPr fontId="1" type="noConversion"/>
  </si>
  <si>
    <t>과속방지턱
(개)</t>
    <phoneticPr fontId="1" type="noConversion"/>
  </si>
  <si>
    <t>도로반사경
(개)</t>
    <phoneticPr fontId="1" type="noConversion"/>
  </si>
  <si>
    <t>□ 보호구역 내 무인단속장비 설치·관리 현황</t>
    <phoneticPr fontId="1" type="noConversion"/>
  </si>
  <si>
    <t>계</t>
    <phoneticPr fontId="1" type="noConversion"/>
  </si>
  <si>
    <t>속도·신호위반 겸용</t>
    <phoneticPr fontId="1" type="noConversion"/>
  </si>
  <si>
    <t>속도위반</t>
    <phoneticPr fontId="1" type="noConversion"/>
  </si>
  <si>
    <t>주·정차 위반</t>
    <phoneticPr fontId="1" type="noConversion"/>
  </si>
  <si>
    <t>519-21</t>
    <phoneticPr fontId="1" type="noConversion"/>
  </si>
  <si>
    <t>가경주로20번길 1</t>
    <phoneticPr fontId="1" type="noConversion"/>
  </si>
  <si>
    <t>가정1동경로당</t>
    <phoneticPr fontId="1" type="noConversion"/>
  </si>
  <si>
    <t>2020-12-36</t>
    <phoneticPr fontId="1" type="noConversion"/>
  </si>
  <si>
    <t>744-13</t>
    <phoneticPr fontId="1" type="noConversion"/>
  </si>
  <si>
    <t>경서로55번길 7</t>
    <phoneticPr fontId="1" type="noConversion"/>
  </si>
  <si>
    <t>경서동경로당</t>
    <phoneticPr fontId="1" type="noConversion"/>
  </si>
  <si>
    <t>2020-12-35</t>
    <phoneticPr fontId="1" type="noConversion"/>
  </si>
  <si>
    <t>987-7</t>
    <phoneticPr fontId="1" type="noConversion"/>
  </si>
  <si>
    <t>검단로502번길 15-1</t>
    <phoneticPr fontId="1" type="noConversion"/>
  </si>
  <si>
    <t>검단노인복지관</t>
    <phoneticPr fontId="1" type="noConversion"/>
  </si>
  <si>
    <t>2020-12-34</t>
    <phoneticPr fontId="1" type="noConversion"/>
  </si>
  <si>
    <t>670-9</t>
    <phoneticPr fontId="1" type="noConversion"/>
  </si>
  <si>
    <t>완정로165번안길 12</t>
    <phoneticPr fontId="1" type="noConversion"/>
  </si>
  <si>
    <t>검단경로당</t>
    <phoneticPr fontId="1" type="noConversion"/>
  </si>
  <si>
    <t>2020-12-33</t>
    <phoneticPr fontId="1" type="noConversion"/>
  </si>
  <si>
    <t>928-14</t>
    <phoneticPr fontId="1" type="noConversion"/>
  </si>
  <si>
    <t>검단로487번길 18</t>
    <phoneticPr fontId="1" type="noConversion"/>
  </si>
  <si>
    <t>방현경로당</t>
    <phoneticPr fontId="1" type="noConversion"/>
  </si>
  <si>
    <t>2020-12-32</t>
    <phoneticPr fontId="1" type="noConversion"/>
  </si>
  <si>
    <t>506-1</t>
    <phoneticPr fontId="1" type="noConversion"/>
  </si>
  <si>
    <t>승학로 551</t>
    <phoneticPr fontId="1" type="noConversion"/>
  </si>
  <si>
    <t>검암경로당</t>
    <phoneticPr fontId="1" type="noConversion"/>
  </si>
  <si>
    <t>2020-12-31</t>
    <phoneticPr fontId="1" type="noConversion"/>
  </si>
  <si>
    <t>325-1</t>
    <phoneticPr fontId="1" type="noConversion"/>
  </si>
  <si>
    <t>승학로 263</t>
    <phoneticPr fontId="1" type="noConversion"/>
  </si>
  <si>
    <t>연희노인문화센터</t>
    <phoneticPr fontId="1" type="noConversion"/>
  </si>
  <si>
    <t>2012-08-04</t>
    <phoneticPr fontId="1" type="noConversion"/>
  </si>
  <si>
    <t>2-3</t>
    <phoneticPr fontId="1" type="noConversion"/>
  </si>
  <si>
    <t>장고개로 387</t>
    <phoneticPr fontId="1" type="noConversion"/>
  </si>
  <si>
    <t>가좌노인문화센터</t>
    <phoneticPr fontId="1" type="noConversion"/>
  </si>
  <si>
    <t>2010-08-03</t>
    <phoneticPr fontId="1" type="noConversion"/>
  </si>
  <si>
    <t>14-5</t>
    <phoneticPr fontId="1" type="noConversion"/>
  </si>
  <si>
    <t>심곡로124번길 10</t>
    <phoneticPr fontId="1" type="noConversion"/>
  </si>
  <si>
    <t>태화노인복지센터</t>
    <phoneticPr fontId="1" type="noConversion"/>
  </si>
  <si>
    <t>2009-08-02</t>
    <phoneticPr fontId="1" type="noConversion"/>
  </si>
  <si>
    <t>484</t>
    <phoneticPr fontId="1" type="noConversion"/>
  </si>
  <si>
    <t>신석로121번길 10</t>
    <phoneticPr fontId="1" type="noConversion"/>
  </si>
  <si>
    <t>서구노인복지관</t>
    <phoneticPr fontId="1" type="noConversion"/>
  </si>
  <si>
    <t>2008-08-01</t>
    <phoneticPr fontId="1" type="noConversion"/>
  </si>
  <si>
    <t>2012-08-01</t>
    <phoneticPr fontId="1" type="noConversion"/>
  </si>
  <si>
    <t>정신지체시설</t>
    <phoneticPr fontId="1" type="noConversion"/>
  </si>
  <si>
    <t>인정재활원</t>
    <phoneticPr fontId="1" type="noConversion"/>
  </si>
  <si>
    <t>서달로123번안길 24</t>
    <phoneticPr fontId="1" type="noConversion"/>
  </si>
  <si>
    <t>491-1</t>
    <phoneticPr fontId="1" type="noConversion"/>
  </si>
  <si>
    <t>연장m</t>
    <phoneticPr fontId="1" type="noConversion"/>
  </si>
  <si>
    <t>교통안전표지(개)</t>
    <phoneticPr fontId="1" type="noConversion"/>
  </si>
  <si>
    <t>노면표시(개소)</t>
    <phoneticPr fontId="1" type="noConversion"/>
  </si>
  <si>
    <t>도로표지(개)</t>
    <phoneticPr fontId="1" type="noConversion"/>
  </si>
  <si>
    <t>과속방지턱(개)</t>
    <phoneticPr fontId="1" type="noConversion"/>
  </si>
  <si>
    <t>도로반사경(개)</t>
    <phoneticPr fontId="1" type="noConversion"/>
  </si>
  <si>
    <t>미끄럼방지시설(개)</t>
    <phoneticPr fontId="1" type="noConversion"/>
  </si>
  <si>
    <t>방호울타리(개소)</t>
    <phoneticPr fontId="1" type="noConversion"/>
  </si>
  <si>
    <t>도로표지(개)
보호표지판, 시종점</t>
    <phoneticPr fontId="1" type="noConversion"/>
  </si>
  <si>
    <t>미끄럼방지시설
(㎡)</t>
    <phoneticPr fontId="1" type="noConversion"/>
  </si>
  <si>
    <t>방호울타리
(개)</t>
    <phoneticPr fontId="1" type="noConversion"/>
  </si>
  <si>
    <t>( 기준일 : 2021. 7. 18. )</t>
    <phoneticPr fontId="1" type="noConversion"/>
  </si>
  <si>
    <t>2021-12-21</t>
    <phoneticPr fontId="1" type="noConversion"/>
  </si>
  <si>
    <t>청라유치원</t>
    <phoneticPr fontId="1" type="noConversion"/>
  </si>
  <si>
    <t>솔빛로 68</t>
    <phoneticPr fontId="1" type="noConversion"/>
  </si>
  <si>
    <t>2021-08-05</t>
    <phoneticPr fontId="1" type="noConversion"/>
  </si>
  <si>
    <t>해든초등학교</t>
    <phoneticPr fontId="1" type="noConversion"/>
  </si>
  <si>
    <t>264-7</t>
    <phoneticPr fontId="1" type="noConversion"/>
  </si>
  <si>
    <t>2021-06-10</t>
    <phoneticPr fontId="1" type="noConversion"/>
  </si>
  <si>
    <t>청라국제어린이집</t>
    <phoneticPr fontId="1" type="noConversion"/>
  </si>
  <si>
    <t>담지로 62</t>
    <phoneticPr fontId="1" type="noConversion"/>
  </si>
  <si>
    <t xml:space="preserve">청라동 </t>
    <phoneticPr fontId="1" type="noConversion"/>
  </si>
  <si>
    <t>137-7</t>
    <phoneticPr fontId="1" type="noConversion"/>
  </si>
  <si>
    <t>한별초등학교</t>
    <phoneticPr fontId="1" type="noConversion"/>
  </si>
  <si>
    <t>폐원</t>
    <phoneticPr fontId="1" type="noConversion"/>
  </si>
  <si>
    <t>2022-05-02</t>
    <phoneticPr fontId="1" type="noConversion"/>
  </si>
  <si>
    <t>국공립아라금호어울림어린이집</t>
    <phoneticPr fontId="1" type="noConversion"/>
  </si>
  <si>
    <t>이음5로 65</t>
    <phoneticPr fontId="1" type="noConversion"/>
  </si>
  <si>
    <t>2022-05-03</t>
    <phoneticPr fontId="1" type="noConversion"/>
  </si>
  <si>
    <t>국공립아라호반써밋한별어린이집</t>
    <phoneticPr fontId="1" type="noConversion"/>
  </si>
  <si>
    <t>이음5로 15</t>
    <phoneticPr fontId="1" type="noConversion"/>
  </si>
  <si>
    <t>2022-4-1</t>
    <phoneticPr fontId="1" type="noConversion"/>
  </si>
  <si>
    <t>불로경로당</t>
    <phoneticPr fontId="1" type="noConversion"/>
  </si>
  <si>
    <t>검단로763번안길 21</t>
    <phoneticPr fontId="1" type="noConversion"/>
  </si>
  <si>
    <t>2022-4-2</t>
    <phoneticPr fontId="1" type="noConversion"/>
  </si>
  <si>
    <t>반딧불노인요양원</t>
    <phoneticPr fontId="1" type="noConversion"/>
  </si>
  <si>
    <t>가정로 186-3</t>
    <phoneticPr fontId="1" type="noConversion"/>
  </si>
  <si>
    <t>2022-4-3</t>
    <phoneticPr fontId="1" type="noConversion"/>
  </si>
  <si>
    <t>시온휴요양원</t>
    <phoneticPr fontId="1" type="noConversion"/>
  </si>
  <si>
    <t>심곡로 53</t>
    <phoneticPr fontId="1" type="noConversion"/>
  </si>
  <si>
    <t>2022-4-4</t>
    <phoneticPr fontId="1" type="noConversion"/>
  </si>
  <si>
    <t>신생요양원</t>
    <phoneticPr fontId="1" type="noConversion"/>
  </si>
  <si>
    <t>드림로 284-4</t>
    <phoneticPr fontId="1" type="noConversion"/>
  </si>
  <si>
    <t>백석동</t>
    <phoneticPr fontId="1" type="noConversion"/>
  </si>
  <si>
    <t>2022-4-5</t>
    <phoneticPr fontId="1" type="noConversion"/>
  </si>
  <si>
    <t>지구촌요양원</t>
    <phoneticPr fontId="1" type="noConversion"/>
  </si>
  <si>
    <t>검단로 505</t>
    <phoneticPr fontId="1" type="noConversion"/>
  </si>
  <si>
    <t>2022-4-6</t>
    <phoneticPr fontId="1" type="noConversion"/>
  </si>
  <si>
    <t>굿모닝요양원</t>
    <phoneticPr fontId="1" type="noConversion"/>
  </si>
  <si>
    <t>건지로334번길 3</t>
    <phoneticPr fontId="1" type="noConversion"/>
  </si>
  <si>
    <t>2022-4-7</t>
    <phoneticPr fontId="1" type="noConversion"/>
  </si>
  <si>
    <t>김성철신경외과부설요양원</t>
    <phoneticPr fontId="1" type="noConversion"/>
  </si>
  <si>
    <t>2022-4-8</t>
    <phoneticPr fontId="1" type="noConversion"/>
  </si>
  <si>
    <t>두드림요양원</t>
    <phoneticPr fontId="1" type="noConversion"/>
  </si>
  <si>
    <t>가정로 287</t>
    <phoneticPr fontId="1" type="noConversion"/>
  </si>
  <si>
    <t>심곡로 78</t>
    <phoneticPr fontId="1" type="noConversion"/>
  </si>
  <si>
    <t>2022-4-9</t>
    <phoneticPr fontId="1" type="noConversion"/>
  </si>
  <si>
    <t>낙원요양원</t>
    <phoneticPr fontId="1" type="noConversion"/>
  </si>
  <si>
    <t>완정로10번길 6-7</t>
    <phoneticPr fontId="1" type="noConversion"/>
  </si>
  <si>
    <t>2022-4-10</t>
    <phoneticPr fontId="1" type="noConversion"/>
  </si>
  <si>
    <t>서부어르신주야간보호센터</t>
    <phoneticPr fontId="1" type="noConversion"/>
  </si>
  <si>
    <t>염곡로 472</t>
    <phoneticPr fontId="1" type="noConversion"/>
  </si>
  <si>
    <t>2022-4-11</t>
    <phoneticPr fontId="1" type="noConversion"/>
  </si>
  <si>
    <t>가족사랑요양원</t>
    <phoneticPr fontId="1" type="noConversion"/>
  </si>
  <si>
    <t>신석로112번길 24</t>
    <phoneticPr fontId="1" type="noConversion"/>
  </si>
  <si>
    <t>2022-4-12</t>
    <phoneticPr fontId="1" type="noConversion"/>
  </si>
  <si>
    <t>인천가톨릭학원마리스텔라</t>
    <phoneticPr fontId="1" type="noConversion"/>
  </si>
  <si>
    <t>심곡로100번길 31</t>
    <phoneticPr fontId="1" type="noConversion"/>
  </si>
  <si>
    <t>2022-4-13</t>
    <phoneticPr fontId="1" type="noConversion"/>
  </si>
  <si>
    <t>가정공원</t>
    <phoneticPr fontId="1" type="noConversion"/>
  </si>
  <si>
    <t>가정로 404</t>
    <phoneticPr fontId="1" type="noConversion"/>
  </si>
  <si>
    <t>2022-4-14</t>
    <phoneticPr fontId="1" type="noConversion"/>
  </si>
  <si>
    <t>갈매공원</t>
    <phoneticPr fontId="1" type="noConversion"/>
  </si>
  <si>
    <t>경명대로683번길 6-7</t>
    <phoneticPr fontId="1" type="noConversion"/>
  </si>
  <si>
    <t>2022-4-15</t>
    <phoneticPr fontId="1" type="noConversion"/>
  </si>
  <si>
    <t>건지공원</t>
    <phoneticPr fontId="1" type="noConversion"/>
  </si>
  <si>
    <t>신진말로33번길</t>
    <phoneticPr fontId="1" type="noConversion"/>
  </si>
  <si>
    <t>2022-4-16</t>
    <phoneticPr fontId="1" type="noConversion"/>
  </si>
  <si>
    <t>계명공원</t>
    <phoneticPr fontId="1" type="noConversion"/>
  </si>
  <si>
    <t>연희로46번길 6</t>
    <phoneticPr fontId="1" type="noConversion"/>
  </si>
  <si>
    <t>2022-4-17</t>
    <phoneticPr fontId="1" type="noConversion"/>
  </si>
  <si>
    <t>새말공원</t>
    <phoneticPr fontId="1" type="noConversion"/>
  </si>
  <si>
    <t>승학로216번길, 서곶로255번길</t>
    <phoneticPr fontId="1" type="noConversion"/>
  </si>
  <si>
    <t>260</t>
    <phoneticPr fontId="1" type="noConversion"/>
  </si>
  <si>
    <t>( 기준일 : 2022. 6. 24. )</t>
    <phoneticPr fontId="1" type="noConversion"/>
  </si>
  <si>
    <t>( 기준일 : 2022. 06. 24. )</t>
    <phoneticPr fontId="1" type="noConversion"/>
  </si>
  <si>
    <t>서로3로</t>
    <phoneticPr fontId="1" type="noConversion"/>
  </si>
  <si>
    <t xml:space="preserve">원당동 </t>
    <phoneticPr fontId="1" type="noConversion"/>
  </si>
  <si>
    <t>105-4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</si>
</sst>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color theme="1"/>
      <name val="굴림"/>
      <family val="3"/>
      <charset val="129"/>
    </font>
    <font>
      <sz val="8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FF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2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3" fillId="0" borderId="1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shrinkToFit="1"/>
    </xf>
    <xf numFmtId="0" fontId="6" fillId="3" borderId="0" xfId="0" applyFont="1" applyFill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Fill="1" applyBorder="1">
      <alignment vertical="center"/>
    </xf>
    <xf numFmtId="0" fontId="7" fillId="0" borderId="2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0" fontId="6" fillId="2" borderId="2" xfId="0" applyFont="1" applyFill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6" fillId="3" borderId="2" xfId="0" applyFont="1" applyFill="1" applyBorder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7" fillId="0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6" fillId="4" borderId="2" xfId="0" applyFont="1" applyFill="1" applyBorder="1">
      <alignment vertical="center"/>
    </xf>
    <xf numFmtId="0" fontId="7" fillId="4" borderId="2" xfId="0" applyFont="1" applyFill="1" applyBorder="1">
      <alignment vertical="center"/>
    </xf>
    <xf numFmtId="0" fontId="7" fillId="4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31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3" fillId="0" borderId="18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8" xfId="0" applyFont="1" applyFill="1" applyBorder="1">
      <alignment vertical="center"/>
    </xf>
    <xf numFmtId="0" fontId="6" fillId="2" borderId="18" xfId="0" applyFont="1" applyFill="1" applyBorder="1">
      <alignment vertical="center"/>
    </xf>
    <xf numFmtId="0" fontId="6" fillId="3" borderId="18" xfId="0" applyFont="1" applyFill="1" applyBorder="1">
      <alignment vertical="center"/>
    </xf>
    <xf numFmtId="0" fontId="6" fillId="4" borderId="18" xfId="0" applyFont="1" applyFill="1" applyBorder="1">
      <alignment vertical="center"/>
    </xf>
    <xf numFmtId="0" fontId="2" fillId="0" borderId="18" xfId="0" applyFont="1" applyFill="1" applyBorder="1">
      <alignment vertical="center"/>
    </xf>
    <xf numFmtId="0" fontId="3" fillId="0" borderId="12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6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F60DC-FCC1-4DE1-8C3D-72F43FFD4C09}">
  <dimension ref="A1:F42"/>
  <sheetViews>
    <sheetView view="pageBreakPreview" zoomScale="115" zoomScaleNormal="100" zoomScaleSheetLayoutView="115" workbookViewId="0">
      <selection activeCell="D8" sqref="D8"/>
    </sheetView>
  </sheetViews>
  <sheetFormatPr defaultRowHeight="35.1" customHeight="1" x14ac:dyDescent="0.3"/>
  <cols>
    <col min="1" max="1" width="11.625" style="2" customWidth="1"/>
    <col min="2" max="6" width="17.625" style="2" customWidth="1"/>
    <col min="7" max="16384" width="9" style="1"/>
  </cols>
  <sheetData>
    <row r="1" spans="1:6" s="41" customFormat="1" ht="30" customHeight="1" x14ac:dyDescent="0.3">
      <c r="A1" s="41" t="s">
        <v>599</v>
      </c>
      <c r="B1" s="42"/>
      <c r="C1" s="42"/>
      <c r="D1" s="42"/>
      <c r="E1" s="42"/>
      <c r="F1" s="42"/>
    </row>
    <row r="2" spans="1:6" s="43" customFormat="1" ht="24.95" customHeight="1" thickBot="1" x14ac:dyDescent="0.35">
      <c r="B2" s="44"/>
      <c r="C2" s="44"/>
      <c r="D2" s="44"/>
      <c r="E2" s="107" t="s">
        <v>758</v>
      </c>
      <c r="F2" s="107"/>
    </row>
    <row r="3" spans="1:6" s="5" customFormat="1" ht="35.1" customHeight="1" thickBot="1" x14ac:dyDescent="0.35">
      <c r="A3" s="108" t="s">
        <v>600</v>
      </c>
      <c r="B3" s="109"/>
      <c r="C3" s="45" t="s">
        <v>601</v>
      </c>
      <c r="D3" s="45" t="s">
        <v>602</v>
      </c>
      <c r="E3" s="45" t="s">
        <v>603</v>
      </c>
      <c r="F3" s="46" t="s">
        <v>8</v>
      </c>
    </row>
    <row r="4" spans="1:6" s="5" customFormat="1" ht="30" customHeight="1" x14ac:dyDescent="0.3">
      <c r="A4" s="110" t="s">
        <v>604</v>
      </c>
      <c r="B4" s="47" t="s">
        <v>605</v>
      </c>
      <c r="C4" s="47"/>
      <c r="D4" s="47">
        <f>SUM(D5:D11)</f>
        <v>135</v>
      </c>
      <c r="E4" s="47">
        <f>SUM(E5:E11)</f>
        <v>59.94</v>
      </c>
      <c r="F4" s="48"/>
    </row>
    <row r="5" spans="1:6" ht="30" customHeight="1" x14ac:dyDescent="0.3">
      <c r="A5" s="111"/>
      <c r="B5" s="49" t="s">
        <v>9</v>
      </c>
      <c r="C5" s="49"/>
      <c r="D5" s="49">
        <v>50</v>
      </c>
      <c r="E5" s="49">
        <v>36.4</v>
      </c>
      <c r="F5" s="50"/>
    </row>
    <row r="6" spans="1:6" ht="30" customHeight="1" x14ac:dyDescent="0.3">
      <c r="A6" s="111"/>
      <c r="B6" s="49" t="s">
        <v>237</v>
      </c>
      <c r="C6" s="49"/>
      <c r="D6" s="49">
        <v>49</v>
      </c>
      <c r="E6" s="49">
        <v>10.9</v>
      </c>
      <c r="F6" s="50"/>
    </row>
    <row r="7" spans="1:6" ht="30" customHeight="1" x14ac:dyDescent="0.3">
      <c r="A7" s="111"/>
      <c r="B7" s="49" t="s">
        <v>146</v>
      </c>
      <c r="C7" s="49"/>
      <c r="D7" s="49">
        <v>32</v>
      </c>
      <c r="E7" s="49">
        <v>10.9</v>
      </c>
      <c r="F7" s="50"/>
    </row>
    <row r="8" spans="1:6" ht="30" customHeight="1" x14ac:dyDescent="0.3">
      <c r="A8" s="111"/>
      <c r="B8" s="51" t="s">
        <v>375</v>
      </c>
      <c r="C8" s="51"/>
      <c r="D8" s="52">
        <v>3</v>
      </c>
      <c r="E8" s="51">
        <v>0.64</v>
      </c>
      <c r="F8" s="53"/>
    </row>
    <row r="9" spans="1:6" ht="30" customHeight="1" x14ac:dyDescent="0.3">
      <c r="A9" s="111"/>
      <c r="B9" s="49" t="s">
        <v>379</v>
      </c>
      <c r="C9" s="49"/>
      <c r="D9" s="49">
        <v>1</v>
      </c>
      <c r="E9" s="49">
        <v>1.1000000000000001</v>
      </c>
      <c r="F9" s="50"/>
    </row>
    <row r="10" spans="1:6" ht="30" customHeight="1" x14ac:dyDescent="0.3">
      <c r="A10" s="112"/>
      <c r="B10" s="49" t="s">
        <v>495</v>
      </c>
      <c r="C10" s="49"/>
      <c r="D10" s="49"/>
      <c r="E10" s="49"/>
      <c r="F10" s="50"/>
    </row>
    <row r="11" spans="1:6" ht="30" customHeight="1" thickBot="1" x14ac:dyDescent="0.35">
      <c r="A11" s="54"/>
      <c r="B11" s="49" t="s">
        <v>492</v>
      </c>
      <c r="C11" s="49"/>
      <c r="D11" s="49"/>
      <c r="E11" s="49"/>
      <c r="F11" s="50"/>
    </row>
    <row r="12" spans="1:6" s="5" customFormat="1" ht="30" customHeight="1" x14ac:dyDescent="0.3">
      <c r="A12" s="113" t="s">
        <v>606</v>
      </c>
      <c r="B12" s="55" t="s">
        <v>605</v>
      </c>
      <c r="C12" s="55"/>
      <c r="D12" s="55">
        <f>SUM(D13:D18)</f>
        <v>27</v>
      </c>
      <c r="E12" s="55">
        <f>SUM(E13:E19)</f>
        <v>1.48</v>
      </c>
      <c r="F12" s="56"/>
    </row>
    <row r="13" spans="1:6" ht="30" customHeight="1" x14ac:dyDescent="0.3">
      <c r="A13" s="111"/>
      <c r="B13" s="49" t="s">
        <v>607</v>
      </c>
      <c r="C13" s="49"/>
      <c r="D13" s="49"/>
      <c r="E13" s="49"/>
      <c r="F13" s="50"/>
    </row>
    <row r="14" spans="1:6" ht="30" customHeight="1" x14ac:dyDescent="0.3">
      <c r="A14" s="111"/>
      <c r="B14" s="49" t="s">
        <v>608</v>
      </c>
      <c r="C14" s="49"/>
      <c r="D14" s="49">
        <v>22</v>
      </c>
      <c r="E14" s="49">
        <v>1.25</v>
      </c>
      <c r="F14" s="50"/>
    </row>
    <row r="15" spans="1:6" ht="30" customHeight="1" x14ac:dyDescent="0.3">
      <c r="A15" s="111"/>
      <c r="B15" s="49" t="s">
        <v>609</v>
      </c>
      <c r="C15" s="49"/>
      <c r="D15" s="49"/>
      <c r="E15" s="49"/>
      <c r="F15" s="50"/>
    </row>
    <row r="16" spans="1:6" ht="30" customHeight="1" x14ac:dyDescent="0.3">
      <c r="A16" s="111"/>
      <c r="B16" s="49" t="s">
        <v>610</v>
      </c>
      <c r="C16" s="49"/>
      <c r="D16" s="49">
        <v>5</v>
      </c>
      <c r="E16" s="49"/>
      <c r="F16" s="50"/>
    </row>
    <row r="17" spans="1:6" ht="30" customHeight="1" x14ac:dyDescent="0.3">
      <c r="A17" s="111"/>
      <c r="B17" s="49" t="s">
        <v>611</v>
      </c>
      <c r="C17" s="49"/>
      <c r="D17" s="49"/>
      <c r="E17" s="49"/>
      <c r="F17" s="50"/>
    </row>
    <row r="18" spans="1:6" ht="30" customHeight="1" thickBot="1" x14ac:dyDescent="0.35">
      <c r="A18" s="114"/>
      <c r="B18" s="57" t="s">
        <v>612</v>
      </c>
      <c r="C18" s="57"/>
      <c r="D18" s="57"/>
      <c r="E18" s="57"/>
      <c r="F18" s="58"/>
    </row>
    <row r="19" spans="1:6" ht="30" customHeight="1" thickBot="1" x14ac:dyDescent="0.35">
      <c r="A19" s="54" t="s">
        <v>613</v>
      </c>
      <c r="B19" s="59" t="s">
        <v>614</v>
      </c>
      <c r="C19" s="59"/>
      <c r="D19" s="60">
        <v>1</v>
      </c>
      <c r="E19" s="59">
        <v>0.23</v>
      </c>
      <c r="F19" s="61"/>
    </row>
    <row r="20" spans="1:6" ht="24.95" customHeight="1" x14ac:dyDescent="0.3"/>
    <row r="21" spans="1:6" s="41" customFormat="1" ht="30" customHeight="1" x14ac:dyDescent="0.3">
      <c r="A21" s="41" t="s">
        <v>615</v>
      </c>
      <c r="B21" s="42"/>
      <c r="C21" s="42"/>
      <c r="D21" s="42"/>
      <c r="E21" s="42"/>
      <c r="F21" s="42"/>
    </row>
    <row r="22" spans="1:6" s="43" customFormat="1" ht="24.95" customHeight="1" thickBot="1" x14ac:dyDescent="0.35">
      <c r="B22" s="44"/>
      <c r="C22" s="44"/>
      <c r="D22" s="44"/>
      <c r="E22" s="107" t="s">
        <v>758</v>
      </c>
      <c r="F22" s="107"/>
    </row>
    <row r="23" spans="1:6" s="5" customFormat="1" ht="35.1" customHeight="1" thickBot="1" x14ac:dyDescent="0.35">
      <c r="A23" s="62" t="s">
        <v>600</v>
      </c>
      <c r="B23" s="45" t="s">
        <v>616</v>
      </c>
      <c r="C23" s="45" t="s">
        <v>617</v>
      </c>
      <c r="D23" s="45" t="s">
        <v>618</v>
      </c>
      <c r="E23" s="63"/>
      <c r="F23" s="46"/>
    </row>
    <row r="24" spans="1:6" ht="30" customHeight="1" x14ac:dyDescent="0.3">
      <c r="A24" s="64" t="s">
        <v>604</v>
      </c>
      <c r="B24" s="65"/>
      <c r="C24" s="65">
        <v>1761</v>
      </c>
      <c r="D24" s="65">
        <v>2992</v>
      </c>
      <c r="E24" s="65"/>
      <c r="F24" s="66"/>
    </row>
    <row r="25" spans="1:6" ht="30" customHeight="1" x14ac:dyDescent="0.3">
      <c r="A25" s="67" t="s">
        <v>606</v>
      </c>
      <c r="B25" s="49"/>
      <c r="C25" s="49">
        <v>15</v>
      </c>
      <c r="D25" s="49">
        <v>27</v>
      </c>
      <c r="E25" s="49"/>
      <c r="F25" s="50"/>
    </row>
    <row r="26" spans="1:6" ht="30" customHeight="1" thickBot="1" x14ac:dyDescent="0.35">
      <c r="A26" s="68" t="s">
        <v>613</v>
      </c>
      <c r="B26" s="57"/>
      <c r="C26" s="57">
        <v>8</v>
      </c>
      <c r="D26" s="57">
        <v>9</v>
      </c>
      <c r="E26" s="57"/>
      <c r="F26" s="58"/>
    </row>
    <row r="27" spans="1:6" ht="30" customHeight="1" x14ac:dyDescent="0.3"/>
    <row r="28" spans="1:6" ht="30" customHeight="1" x14ac:dyDescent="0.3"/>
    <row r="29" spans="1:6" ht="30" customHeight="1" x14ac:dyDescent="0.3"/>
    <row r="30" spans="1:6" ht="30" customHeight="1" x14ac:dyDescent="0.3">
      <c r="A30" s="41" t="s">
        <v>619</v>
      </c>
    </row>
    <row r="31" spans="1:6" s="43" customFormat="1" ht="24.95" customHeight="1" thickBot="1" x14ac:dyDescent="0.35">
      <c r="B31" s="44"/>
      <c r="C31" s="44"/>
      <c r="D31" s="44"/>
      <c r="E31" s="106" t="s">
        <v>758</v>
      </c>
      <c r="F31" s="106"/>
    </row>
    <row r="32" spans="1:6" s="5" customFormat="1" ht="35.1" customHeight="1" thickBot="1" x14ac:dyDescent="0.35">
      <c r="A32" s="62" t="s">
        <v>600</v>
      </c>
      <c r="B32" s="45" t="s">
        <v>620</v>
      </c>
      <c r="C32" s="45" t="s">
        <v>621</v>
      </c>
      <c r="D32" s="45" t="s">
        <v>622</v>
      </c>
      <c r="E32" s="45" t="s">
        <v>682</v>
      </c>
      <c r="F32" s="69" t="s">
        <v>683</v>
      </c>
    </row>
    <row r="33" spans="1:6" ht="30" customHeight="1" x14ac:dyDescent="0.3">
      <c r="A33" s="64" t="s">
        <v>604</v>
      </c>
      <c r="B33" s="65">
        <v>684</v>
      </c>
      <c r="C33" s="65">
        <v>3745</v>
      </c>
      <c r="D33" s="65">
        <v>173</v>
      </c>
      <c r="E33" s="103">
        <v>77693</v>
      </c>
      <c r="F33" s="104">
        <v>34315</v>
      </c>
    </row>
    <row r="34" spans="1:6" ht="30" customHeight="1" x14ac:dyDescent="0.3">
      <c r="A34" s="67" t="s">
        <v>606</v>
      </c>
      <c r="B34" s="49">
        <v>2</v>
      </c>
      <c r="C34" s="49">
        <v>12</v>
      </c>
      <c r="D34" s="49">
        <v>4</v>
      </c>
      <c r="E34" s="49">
        <v>528</v>
      </c>
      <c r="F34" s="50">
        <v>183</v>
      </c>
    </row>
    <row r="35" spans="1:6" ht="30" customHeight="1" thickBot="1" x14ac:dyDescent="0.35">
      <c r="A35" s="68" t="s">
        <v>613</v>
      </c>
      <c r="B35" s="57"/>
      <c r="C35" s="57">
        <v>3</v>
      </c>
      <c r="D35" s="57"/>
      <c r="E35" s="57"/>
      <c r="F35" s="58"/>
    </row>
    <row r="36" spans="1:6" ht="24.95" customHeight="1" x14ac:dyDescent="0.3"/>
    <row r="37" spans="1:6" ht="30" customHeight="1" x14ac:dyDescent="0.3">
      <c r="A37" s="41" t="s">
        <v>623</v>
      </c>
    </row>
    <row r="38" spans="1:6" s="43" customFormat="1" ht="24.95" customHeight="1" thickBot="1" x14ac:dyDescent="0.35">
      <c r="B38" s="44"/>
      <c r="C38" s="44"/>
      <c r="D38" s="44"/>
      <c r="E38" s="106" t="s">
        <v>758</v>
      </c>
      <c r="F38" s="106"/>
    </row>
    <row r="39" spans="1:6" s="5" customFormat="1" ht="35.1" customHeight="1" thickBot="1" x14ac:dyDescent="0.35">
      <c r="A39" s="62" t="s">
        <v>600</v>
      </c>
      <c r="B39" s="45" t="s">
        <v>624</v>
      </c>
      <c r="C39" s="45" t="s">
        <v>625</v>
      </c>
      <c r="D39" s="45" t="s">
        <v>626</v>
      </c>
      <c r="E39" s="45" t="s">
        <v>627</v>
      </c>
      <c r="F39" s="69"/>
    </row>
    <row r="40" spans="1:6" ht="30" customHeight="1" x14ac:dyDescent="0.3">
      <c r="A40" s="64" t="s">
        <v>604</v>
      </c>
      <c r="B40" s="65"/>
      <c r="C40" s="65"/>
      <c r="D40" s="65"/>
      <c r="E40" s="65"/>
      <c r="F40" s="66"/>
    </row>
    <row r="41" spans="1:6" ht="30" customHeight="1" x14ac:dyDescent="0.3">
      <c r="A41" s="67" t="s">
        <v>606</v>
      </c>
      <c r="B41" s="49"/>
      <c r="C41" s="49"/>
      <c r="D41" s="49"/>
      <c r="E41" s="49"/>
      <c r="F41" s="50"/>
    </row>
    <row r="42" spans="1:6" ht="30" customHeight="1" thickBot="1" x14ac:dyDescent="0.35">
      <c r="A42" s="68" t="s">
        <v>613</v>
      </c>
      <c r="B42" s="57"/>
      <c r="C42" s="57"/>
      <c r="D42" s="57"/>
      <c r="E42" s="57"/>
      <c r="F42" s="58"/>
    </row>
  </sheetData>
  <mergeCells count="7">
    <mergeCell ref="E38:F38"/>
    <mergeCell ref="E2:F2"/>
    <mergeCell ref="A3:B3"/>
    <mergeCell ref="A4:A10"/>
    <mergeCell ref="A12:A18"/>
    <mergeCell ref="E22:F22"/>
    <mergeCell ref="E31:F3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80" orientation="portrait" r:id="rId1"/>
  <headerFooter>
    <oddHeader>&amp;C&amp;"굴림,굵게"&amp;18어린이·노인·장애인 보호구역 지정·관리 현황 (총괄)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99"/>
  <sheetViews>
    <sheetView tabSelected="1" view="pageBreakPreview" zoomScaleNormal="100" zoomScaleSheetLayoutView="100" workbookViewId="0">
      <pane xSplit="1" ySplit="2" topLeftCell="B135" activePane="bottomRight" state="frozen"/>
      <selection pane="topRight" activeCell="B1" sqref="B1"/>
      <selection pane="bottomLeft" activeCell="A2" sqref="A2"/>
      <selection pane="bottomRight" activeCell="G141" sqref="G141"/>
    </sheetView>
  </sheetViews>
  <sheetFormatPr defaultRowHeight="30" customHeight="1" x14ac:dyDescent="0.3"/>
  <cols>
    <col min="1" max="1" width="5.625" style="2" customWidth="1"/>
    <col min="2" max="2" width="7.625" style="2" customWidth="1"/>
    <col min="3" max="3" width="11" style="2" customWidth="1"/>
    <col min="4" max="4" width="8.625" style="2" customWidth="1"/>
    <col min="5" max="6" width="21.625" style="2" customWidth="1"/>
    <col min="7" max="8" width="7.625" style="2" customWidth="1"/>
    <col min="9" max="9" width="11.25" style="7" customWidth="1"/>
    <col min="10" max="10" width="5.625" style="82" customWidth="1"/>
    <col min="11" max="11" width="19.25" style="83" customWidth="1"/>
    <col min="12" max="12" width="15.375" style="82" customWidth="1"/>
    <col min="13" max="13" width="14.5" style="82" customWidth="1"/>
    <col min="14" max="14" width="16" style="82" customWidth="1"/>
    <col min="15" max="15" width="14.75" style="82" customWidth="1"/>
    <col min="16" max="16" width="16.875" style="82" customWidth="1"/>
    <col min="17" max="17" width="18.25" style="82" customWidth="1"/>
    <col min="18" max="16384" width="9" style="1"/>
  </cols>
  <sheetData>
    <row r="1" spans="1:17" ht="24.95" customHeight="1" thickBot="1" x14ac:dyDescent="0.35">
      <c r="H1" s="115" t="s">
        <v>684</v>
      </c>
      <c r="I1" s="115"/>
    </row>
    <row r="2" spans="1:17" s="5" customFormat="1" ht="35.1" customHeight="1" thickBot="1" x14ac:dyDescent="0.35">
      <c r="A2" s="25" t="s">
        <v>0</v>
      </c>
      <c r="B2" s="26" t="s">
        <v>7</v>
      </c>
      <c r="C2" s="26" t="s">
        <v>1</v>
      </c>
      <c r="D2" s="26" t="s">
        <v>2</v>
      </c>
      <c r="E2" s="26" t="s">
        <v>3</v>
      </c>
      <c r="F2" s="26" t="s">
        <v>6</v>
      </c>
      <c r="G2" s="26" t="s">
        <v>4</v>
      </c>
      <c r="H2" s="26" t="s">
        <v>5</v>
      </c>
      <c r="I2" s="123" t="s">
        <v>8</v>
      </c>
      <c r="J2" s="116" t="s">
        <v>673</v>
      </c>
      <c r="K2" s="85" t="s">
        <v>674</v>
      </c>
      <c r="L2" s="84" t="s">
        <v>675</v>
      </c>
      <c r="M2" s="84" t="s">
        <v>676</v>
      </c>
      <c r="N2" s="84" t="s">
        <v>677</v>
      </c>
      <c r="O2" s="84" t="s">
        <v>678</v>
      </c>
      <c r="P2" s="84" t="s">
        <v>679</v>
      </c>
      <c r="Q2" s="84" t="s">
        <v>680</v>
      </c>
    </row>
    <row r="3" spans="1:17" s="31" customFormat="1" ht="30" customHeight="1" x14ac:dyDescent="0.3">
      <c r="A3" s="9">
        <v>1</v>
      </c>
      <c r="B3" s="10">
        <v>1995</v>
      </c>
      <c r="C3" s="11" t="s">
        <v>411</v>
      </c>
      <c r="D3" s="10" t="s">
        <v>9</v>
      </c>
      <c r="E3" s="30" t="s">
        <v>10</v>
      </c>
      <c r="F3" s="10" t="s">
        <v>12</v>
      </c>
      <c r="G3" s="10" t="s">
        <v>11</v>
      </c>
      <c r="H3" s="11" t="s">
        <v>13</v>
      </c>
      <c r="I3" s="124"/>
      <c r="J3" s="117">
        <v>970</v>
      </c>
      <c r="K3" s="87">
        <v>32</v>
      </c>
      <c r="L3" s="86">
        <v>49</v>
      </c>
      <c r="M3" s="86">
        <v>7</v>
      </c>
      <c r="N3" s="86">
        <f>1+3+1</f>
        <v>5</v>
      </c>
      <c r="O3" s="86">
        <f>9+1</f>
        <v>10</v>
      </c>
      <c r="P3" s="86">
        <f>1726+41+36+54+54</f>
        <v>1911</v>
      </c>
      <c r="Q3" s="86">
        <f>794</f>
        <v>794</v>
      </c>
    </row>
    <row r="4" spans="1:17" s="31" customFormat="1" ht="30" customHeight="1" x14ac:dyDescent="0.3">
      <c r="A4" s="12">
        <v>2</v>
      </c>
      <c r="B4" s="13">
        <v>1995</v>
      </c>
      <c r="C4" s="14" t="s">
        <v>412</v>
      </c>
      <c r="D4" s="13" t="s">
        <v>14</v>
      </c>
      <c r="E4" s="32" t="s">
        <v>15</v>
      </c>
      <c r="F4" s="13" t="s">
        <v>16</v>
      </c>
      <c r="G4" s="13" t="s">
        <v>17</v>
      </c>
      <c r="H4" s="14" t="s">
        <v>18</v>
      </c>
      <c r="I4" s="125"/>
      <c r="J4" s="117">
        <f>230+380</f>
        <v>610</v>
      </c>
      <c r="K4" s="87">
        <f>5+5</f>
        <v>10</v>
      </c>
      <c r="L4" s="86">
        <f>18+9</f>
        <v>27</v>
      </c>
      <c r="M4" s="86">
        <f>5</f>
        <v>5</v>
      </c>
      <c r="N4" s="86">
        <f>4</f>
        <v>4</v>
      </c>
      <c r="O4" s="86">
        <v>0</v>
      </c>
      <c r="P4" s="86">
        <f>426+1320</f>
        <v>1746</v>
      </c>
      <c r="Q4" s="86">
        <f>309+489</f>
        <v>798</v>
      </c>
    </row>
    <row r="5" spans="1:17" s="24" customFormat="1" ht="30" customHeight="1" x14ac:dyDescent="0.3">
      <c r="A5" s="12">
        <v>3</v>
      </c>
      <c r="B5" s="15">
        <v>1996</v>
      </c>
      <c r="C5" s="17" t="s">
        <v>513</v>
      </c>
      <c r="D5" s="15" t="s">
        <v>14</v>
      </c>
      <c r="E5" s="28" t="s">
        <v>19</v>
      </c>
      <c r="F5" s="15" t="s">
        <v>20</v>
      </c>
      <c r="G5" s="15" t="s">
        <v>21</v>
      </c>
      <c r="H5" s="17" t="s">
        <v>22</v>
      </c>
      <c r="I5" s="126"/>
      <c r="J5" s="118">
        <f>270+220+220+220</f>
        <v>930</v>
      </c>
      <c r="K5" s="89">
        <f>6+8+20</f>
        <v>34</v>
      </c>
      <c r="L5" s="88">
        <f>16+7+14+6</f>
        <v>43</v>
      </c>
      <c r="M5" s="88">
        <f>2+2+4+1</f>
        <v>9</v>
      </c>
      <c r="N5" s="88">
        <f>7+6+1</f>
        <v>14</v>
      </c>
      <c r="O5" s="88">
        <f>2</f>
        <v>2</v>
      </c>
      <c r="P5" s="88">
        <f>585</f>
        <v>585</v>
      </c>
      <c r="Q5" s="88">
        <f>342+105+100</f>
        <v>547</v>
      </c>
    </row>
    <row r="6" spans="1:17" s="24" customFormat="1" ht="30" customHeight="1" x14ac:dyDescent="0.3">
      <c r="A6" s="12">
        <v>4</v>
      </c>
      <c r="B6" s="15">
        <v>1996</v>
      </c>
      <c r="C6" s="17" t="s">
        <v>410</v>
      </c>
      <c r="D6" s="15" t="s">
        <v>14</v>
      </c>
      <c r="E6" s="28" t="s">
        <v>23</v>
      </c>
      <c r="F6" s="15" t="s">
        <v>24</v>
      </c>
      <c r="G6" s="15" t="s">
        <v>25</v>
      </c>
      <c r="H6" s="17" t="s">
        <v>26</v>
      </c>
      <c r="I6" s="126"/>
      <c r="J6" s="118">
        <f>670+280+370</f>
        <v>1320</v>
      </c>
      <c r="K6" s="89">
        <f>16+12+11</f>
        <v>39</v>
      </c>
      <c r="L6" s="88">
        <f>34+8+6</f>
        <v>48</v>
      </c>
      <c r="M6" s="88">
        <f>2+7+2+6</f>
        <v>17</v>
      </c>
      <c r="N6" s="88">
        <f>7+6</f>
        <v>13</v>
      </c>
      <c r="O6" s="88">
        <f>4+3+4</f>
        <v>11</v>
      </c>
      <c r="P6" s="88">
        <f>1104+134+244</f>
        <v>1482</v>
      </c>
      <c r="Q6" s="88">
        <f>704</f>
        <v>704</v>
      </c>
    </row>
    <row r="7" spans="1:17" s="24" customFormat="1" ht="30" customHeight="1" x14ac:dyDescent="0.3">
      <c r="A7" s="12">
        <v>5</v>
      </c>
      <c r="B7" s="15">
        <v>1996</v>
      </c>
      <c r="C7" s="17" t="s">
        <v>514</v>
      </c>
      <c r="D7" s="15" t="s">
        <v>14</v>
      </c>
      <c r="E7" s="28" t="s">
        <v>27</v>
      </c>
      <c r="F7" s="15" t="s">
        <v>28</v>
      </c>
      <c r="G7" s="15" t="s">
        <v>29</v>
      </c>
      <c r="H7" s="17">
        <v>291</v>
      </c>
      <c r="I7" s="126"/>
      <c r="J7" s="118">
        <f>330+150+140+230+100</f>
        <v>950</v>
      </c>
      <c r="K7" s="89"/>
      <c r="L7" s="88">
        <f>36+5+6+7</f>
        <v>54</v>
      </c>
      <c r="M7" s="88">
        <f>4+4+2</f>
        <v>10</v>
      </c>
      <c r="N7" s="88">
        <f>3+4</f>
        <v>7</v>
      </c>
      <c r="O7" s="88">
        <f>2+1</f>
        <v>3</v>
      </c>
      <c r="P7" s="88">
        <f>247+27</f>
        <v>274</v>
      </c>
      <c r="Q7" s="88">
        <f>267+88</f>
        <v>355</v>
      </c>
    </row>
    <row r="8" spans="1:17" s="24" customFormat="1" ht="30" customHeight="1" x14ac:dyDescent="0.3">
      <c r="A8" s="12">
        <v>6</v>
      </c>
      <c r="B8" s="15">
        <v>1996</v>
      </c>
      <c r="C8" s="17" t="s">
        <v>515</v>
      </c>
      <c r="D8" s="15" t="s">
        <v>14</v>
      </c>
      <c r="E8" s="28" t="s">
        <v>30</v>
      </c>
      <c r="F8" s="15" t="s">
        <v>31</v>
      </c>
      <c r="G8" s="15" t="s">
        <v>25</v>
      </c>
      <c r="H8" s="17">
        <v>580</v>
      </c>
      <c r="I8" s="126"/>
      <c r="J8" s="118">
        <f>170+400+160+160+350</f>
        <v>1240</v>
      </c>
      <c r="K8" s="89">
        <f>1+13+5+7</f>
        <v>26</v>
      </c>
      <c r="L8" s="88">
        <f>7+34+4+7</f>
        <v>52</v>
      </c>
      <c r="M8" s="88">
        <f>3+4+2</f>
        <v>9</v>
      </c>
      <c r="N8" s="88">
        <f>3+2+4</f>
        <v>9</v>
      </c>
      <c r="O8" s="88"/>
      <c r="P8" s="88">
        <f>514+186</f>
        <v>700</v>
      </c>
      <c r="Q8" s="88">
        <f>129+92</f>
        <v>221</v>
      </c>
    </row>
    <row r="9" spans="1:17" s="24" customFormat="1" ht="30" customHeight="1" x14ac:dyDescent="0.3">
      <c r="A9" s="12">
        <v>7</v>
      </c>
      <c r="B9" s="15">
        <v>1996</v>
      </c>
      <c r="C9" s="17" t="s">
        <v>516</v>
      </c>
      <c r="D9" s="15" t="s">
        <v>14</v>
      </c>
      <c r="E9" s="28" t="s">
        <v>32</v>
      </c>
      <c r="F9" s="15" t="s">
        <v>33</v>
      </c>
      <c r="G9" s="15" t="s">
        <v>25</v>
      </c>
      <c r="H9" s="17" t="s">
        <v>34</v>
      </c>
      <c r="I9" s="126"/>
      <c r="J9" s="118">
        <f>315+125+260+130</f>
        <v>830</v>
      </c>
      <c r="K9" s="89">
        <f>6+4+1+1</f>
        <v>12</v>
      </c>
      <c r="L9" s="88">
        <f>8+6+4+2</f>
        <v>20</v>
      </c>
      <c r="M9" s="88">
        <f>2+1+1</f>
        <v>4</v>
      </c>
      <c r="N9" s="88">
        <f>6+3+4+4</f>
        <v>17</v>
      </c>
      <c r="O9" s="88">
        <f>4+3</f>
        <v>7</v>
      </c>
      <c r="P9" s="88">
        <f>529+133+393</f>
        <v>1055</v>
      </c>
      <c r="Q9" s="88">
        <f>56</f>
        <v>56</v>
      </c>
    </row>
    <row r="10" spans="1:17" s="24" customFormat="1" ht="30" customHeight="1" x14ac:dyDescent="0.3">
      <c r="A10" s="12">
        <v>8</v>
      </c>
      <c r="B10" s="15">
        <v>1996</v>
      </c>
      <c r="C10" s="17" t="s">
        <v>517</v>
      </c>
      <c r="D10" s="15" t="s">
        <v>14</v>
      </c>
      <c r="E10" s="28" t="s">
        <v>35</v>
      </c>
      <c r="F10" s="15" t="s">
        <v>36</v>
      </c>
      <c r="G10" s="15" t="s">
        <v>37</v>
      </c>
      <c r="H10" s="17" t="s">
        <v>38</v>
      </c>
      <c r="I10" s="126"/>
      <c r="J10" s="118">
        <f>150+250+220+130</f>
        <v>750</v>
      </c>
      <c r="K10" s="89">
        <f>3+4+3+4</f>
        <v>14</v>
      </c>
      <c r="L10" s="88">
        <f>4+4+6+5</f>
        <v>19</v>
      </c>
      <c r="M10" s="88">
        <f>1+3+1+1</f>
        <v>6</v>
      </c>
      <c r="N10" s="88">
        <f>3+8+4+5</f>
        <v>20</v>
      </c>
      <c r="O10" s="88">
        <f>3+1</f>
        <v>4</v>
      </c>
      <c r="P10" s="88">
        <f>236+223+33+43</f>
        <v>535</v>
      </c>
      <c r="Q10" s="88">
        <f>139+255+85+87</f>
        <v>566</v>
      </c>
    </row>
    <row r="11" spans="1:17" s="24" customFormat="1" ht="30" customHeight="1" x14ac:dyDescent="0.3">
      <c r="A11" s="12">
        <v>9</v>
      </c>
      <c r="B11" s="15">
        <v>1996</v>
      </c>
      <c r="C11" s="17" t="s">
        <v>518</v>
      </c>
      <c r="D11" s="15" t="s">
        <v>14</v>
      </c>
      <c r="E11" s="28" t="s">
        <v>39</v>
      </c>
      <c r="F11" s="15" t="s">
        <v>40</v>
      </c>
      <c r="G11" s="15" t="s">
        <v>41</v>
      </c>
      <c r="H11" s="17">
        <v>200</v>
      </c>
      <c r="I11" s="126"/>
      <c r="J11" s="118">
        <f>340+350+220</f>
        <v>910</v>
      </c>
      <c r="K11" s="89">
        <f>6+4+8</f>
        <v>18</v>
      </c>
      <c r="L11" s="88">
        <f>13+16+6</f>
        <v>35</v>
      </c>
      <c r="M11" s="88">
        <f>2+2+3+2+3</f>
        <v>12</v>
      </c>
      <c r="N11" s="88">
        <f>7+7+2</f>
        <v>16</v>
      </c>
      <c r="O11" s="88">
        <f>3</f>
        <v>3</v>
      </c>
      <c r="P11" s="88">
        <f>1730+195+724</f>
        <v>2649</v>
      </c>
      <c r="Q11" s="88">
        <f>224+144+133</f>
        <v>501</v>
      </c>
    </row>
    <row r="12" spans="1:17" s="24" customFormat="1" ht="30" customHeight="1" x14ac:dyDescent="0.3">
      <c r="A12" s="12">
        <v>10</v>
      </c>
      <c r="B12" s="15">
        <v>1997</v>
      </c>
      <c r="C12" s="17" t="s">
        <v>519</v>
      </c>
      <c r="D12" s="15" t="s">
        <v>14</v>
      </c>
      <c r="E12" s="28" t="s">
        <v>42</v>
      </c>
      <c r="F12" s="15" t="s">
        <v>43</v>
      </c>
      <c r="G12" s="15" t="s">
        <v>41</v>
      </c>
      <c r="H12" s="17" t="s">
        <v>44</v>
      </c>
      <c r="I12" s="126"/>
      <c r="J12" s="118">
        <f>500+285+70</f>
        <v>855</v>
      </c>
      <c r="K12" s="89">
        <f>5+3+1</f>
        <v>9</v>
      </c>
      <c r="L12" s="88">
        <f>28+16+4</f>
        <v>48</v>
      </c>
      <c r="M12" s="88">
        <f>5+3+3+1</f>
        <v>12</v>
      </c>
      <c r="N12" s="88">
        <f>3+2</f>
        <v>5</v>
      </c>
      <c r="O12" s="88">
        <f>2</f>
        <v>2</v>
      </c>
      <c r="P12" s="88">
        <f>543+219</f>
        <v>762</v>
      </c>
      <c r="Q12" s="88">
        <f>102+295</f>
        <v>397</v>
      </c>
    </row>
    <row r="13" spans="1:17" s="24" customFormat="1" ht="30" customHeight="1" x14ac:dyDescent="0.3">
      <c r="A13" s="12">
        <v>11</v>
      </c>
      <c r="B13" s="15">
        <v>1997</v>
      </c>
      <c r="C13" s="17" t="s">
        <v>413</v>
      </c>
      <c r="D13" s="15" t="s">
        <v>14</v>
      </c>
      <c r="E13" s="28" t="s">
        <v>45</v>
      </c>
      <c r="F13" s="15" t="s">
        <v>46</v>
      </c>
      <c r="G13" s="15" t="s">
        <v>29</v>
      </c>
      <c r="H13" s="17" t="s">
        <v>47</v>
      </c>
      <c r="I13" s="126"/>
      <c r="J13" s="118">
        <f>410+150+125+125+290</f>
        <v>1100</v>
      </c>
      <c r="K13" s="89">
        <f>10</f>
        <v>10</v>
      </c>
      <c r="L13" s="88">
        <f>36+4+5+3+9</f>
        <v>57</v>
      </c>
      <c r="M13" s="88">
        <f>6+7+2+2+2</f>
        <v>19</v>
      </c>
      <c r="N13" s="88">
        <f>2+3+2+3+3</f>
        <v>13</v>
      </c>
      <c r="O13" s="88">
        <f>1+1</f>
        <v>2</v>
      </c>
      <c r="P13" s="88">
        <f>731</f>
        <v>731</v>
      </c>
      <c r="Q13" s="88">
        <f>417+106+118</f>
        <v>641</v>
      </c>
    </row>
    <row r="14" spans="1:17" s="24" customFormat="1" ht="30" customHeight="1" x14ac:dyDescent="0.3">
      <c r="A14" s="12">
        <v>12</v>
      </c>
      <c r="B14" s="15">
        <v>1997</v>
      </c>
      <c r="C14" s="17" t="s">
        <v>520</v>
      </c>
      <c r="D14" s="15" t="s">
        <v>14</v>
      </c>
      <c r="E14" s="28" t="s">
        <v>48</v>
      </c>
      <c r="F14" s="15" t="s">
        <v>49</v>
      </c>
      <c r="G14" s="15" t="s">
        <v>41</v>
      </c>
      <c r="H14" s="17" t="s">
        <v>50</v>
      </c>
      <c r="I14" s="126"/>
      <c r="J14" s="118">
        <f>180+500+285</f>
        <v>965</v>
      </c>
      <c r="K14" s="89">
        <f>7</f>
        <v>7</v>
      </c>
      <c r="L14" s="88">
        <f>3+28+16</f>
        <v>47</v>
      </c>
      <c r="M14" s="88">
        <f>5+5+5+3+3</f>
        <v>21</v>
      </c>
      <c r="N14" s="88">
        <f>2+3</f>
        <v>5</v>
      </c>
      <c r="O14" s="88">
        <f>2</f>
        <v>2</v>
      </c>
      <c r="P14" s="88">
        <f>192+543+219</f>
        <v>954</v>
      </c>
      <c r="Q14" s="88">
        <f>203+102+295</f>
        <v>600</v>
      </c>
    </row>
    <row r="15" spans="1:17" s="24" customFormat="1" ht="30" customHeight="1" x14ac:dyDescent="0.3">
      <c r="A15" s="12">
        <v>13</v>
      </c>
      <c r="B15" s="15">
        <v>1997</v>
      </c>
      <c r="C15" s="17" t="s">
        <v>521</v>
      </c>
      <c r="D15" s="15" t="s">
        <v>14</v>
      </c>
      <c r="E15" s="28" t="s">
        <v>51</v>
      </c>
      <c r="F15" s="15" t="s">
        <v>52</v>
      </c>
      <c r="G15" s="15" t="s">
        <v>25</v>
      </c>
      <c r="H15" s="17" t="s">
        <v>53</v>
      </c>
      <c r="I15" s="126"/>
      <c r="J15" s="118">
        <v>750</v>
      </c>
      <c r="K15" s="89">
        <v>8</v>
      </c>
      <c r="L15" s="88">
        <v>22</v>
      </c>
      <c r="M15" s="88">
        <v>7</v>
      </c>
      <c r="N15" s="88">
        <v>2</v>
      </c>
      <c r="O15" s="88">
        <v>5</v>
      </c>
      <c r="P15" s="88">
        <v>949</v>
      </c>
      <c r="Q15" s="88">
        <v>582</v>
      </c>
    </row>
    <row r="16" spans="1:17" s="24" customFormat="1" ht="30" customHeight="1" x14ac:dyDescent="0.3">
      <c r="A16" s="12">
        <v>14</v>
      </c>
      <c r="B16" s="15">
        <v>1997</v>
      </c>
      <c r="C16" s="17" t="s">
        <v>522</v>
      </c>
      <c r="D16" s="15" t="s">
        <v>14</v>
      </c>
      <c r="E16" s="28" t="s">
        <v>54</v>
      </c>
      <c r="F16" s="15" t="s">
        <v>55</v>
      </c>
      <c r="G16" s="15" t="s">
        <v>56</v>
      </c>
      <c r="H16" s="17" t="s">
        <v>57</v>
      </c>
      <c r="I16" s="126"/>
      <c r="J16" s="118">
        <f>450+240</f>
        <v>690</v>
      </c>
      <c r="K16" s="89">
        <f>27+7</f>
        <v>34</v>
      </c>
      <c r="L16" s="88">
        <f>14+6</f>
        <v>20</v>
      </c>
      <c r="M16" s="88">
        <f>1+5+1+1</f>
        <v>8</v>
      </c>
      <c r="N16" s="88">
        <f>2622+488</f>
        <v>3110</v>
      </c>
      <c r="O16" s="88">
        <f>2</f>
        <v>2</v>
      </c>
      <c r="P16" s="88">
        <v>13</v>
      </c>
      <c r="Q16" s="88">
        <f>438</f>
        <v>438</v>
      </c>
    </row>
    <row r="17" spans="1:17" s="24" customFormat="1" ht="30" customHeight="1" x14ac:dyDescent="0.3">
      <c r="A17" s="12">
        <v>15</v>
      </c>
      <c r="B17" s="15">
        <v>1997</v>
      </c>
      <c r="C17" s="17" t="s">
        <v>540</v>
      </c>
      <c r="D17" s="15" t="s">
        <v>146</v>
      </c>
      <c r="E17" s="28" t="s">
        <v>147</v>
      </c>
      <c r="F17" s="15" t="s">
        <v>148</v>
      </c>
      <c r="G17" s="15" t="s">
        <v>149</v>
      </c>
      <c r="H17" s="17" t="s">
        <v>150</v>
      </c>
      <c r="I17" s="126"/>
      <c r="J17" s="118">
        <v>300</v>
      </c>
      <c r="K17" s="97">
        <v>6</v>
      </c>
      <c r="L17" s="88">
        <v>14</v>
      </c>
      <c r="M17" s="88"/>
      <c r="N17" s="88">
        <v>11</v>
      </c>
      <c r="O17" s="88">
        <v>3</v>
      </c>
      <c r="P17" s="88">
        <v>36</v>
      </c>
      <c r="Q17" s="88">
        <v>102</v>
      </c>
    </row>
    <row r="18" spans="1:17" s="24" customFormat="1" ht="30" customHeight="1" x14ac:dyDescent="0.3">
      <c r="A18" s="12">
        <v>16</v>
      </c>
      <c r="B18" s="15">
        <v>1997</v>
      </c>
      <c r="C18" s="17" t="s">
        <v>541</v>
      </c>
      <c r="D18" s="15" t="s">
        <v>146</v>
      </c>
      <c r="E18" s="28" t="s">
        <v>151</v>
      </c>
      <c r="F18" s="15" t="s">
        <v>152</v>
      </c>
      <c r="G18" s="15" t="s">
        <v>153</v>
      </c>
      <c r="H18" s="17" t="s">
        <v>154</v>
      </c>
      <c r="I18" s="126"/>
      <c r="J18" s="118">
        <v>220</v>
      </c>
      <c r="K18" s="90">
        <v>6</v>
      </c>
      <c r="L18" s="88">
        <v>6</v>
      </c>
      <c r="M18" s="88">
        <v>2</v>
      </c>
      <c r="N18" s="88">
        <v>3</v>
      </c>
      <c r="O18" s="88"/>
      <c r="P18" s="88"/>
      <c r="Q18" s="88"/>
    </row>
    <row r="19" spans="1:17" s="24" customFormat="1" ht="30" customHeight="1" x14ac:dyDescent="0.3">
      <c r="A19" s="12">
        <v>17</v>
      </c>
      <c r="B19" s="15">
        <v>1998</v>
      </c>
      <c r="C19" s="17" t="s">
        <v>542</v>
      </c>
      <c r="D19" s="15" t="s">
        <v>146</v>
      </c>
      <c r="E19" s="28" t="s">
        <v>155</v>
      </c>
      <c r="F19" s="15" t="s">
        <v>156</v>
      </c>
      <c r="G19" s="15" t="s">
        <v>153</v>
      </c>
      <c r="H19" s="17" t="s">
        <v>157</v>
      </c>
      <c r="I19" s="127"/>
      <c r="J19" s="119">
        <v>230</v>
      </c>
      <c r="K19" s="92">
        <v>5</v>
      </c>
      <c r="L19" s="88">
        <v>6</v>
      </c>
      <c r="M19" s="88"/>
      <c r="N19" s="88"/>
      <c r="O19" s="88"/>
      <c r="P19" s="88">
        <v>290</v>
      </c>
      <c r="Q19" s="88">
        <v>150</v>
      </c>
    </row>
    <row r="20" spans="1:17" s="24" customFormat="1" ht="30" customHeight="1" x14ac:dyDescent="0.3">
      <c r="A20" s="16">
        <v>18</v>
      </c>
      <c r="B20" s="15">
        <v>1999</v>
      </c>
      <c r="C20" s="17" t="s">
        <v>523</v>
      </c>
      <c r="D20" s="15" t="s">
        <v>14</v>
      </c>
      <c r="E20" s="28" t="s">
        <v>58</v>
      </c>
      <c r="F20" s="15" t="s">
        <v>59</v>
      </c>
      <c r="G20" s="15" t="s">
        <v>60</v>
      </c>
      <c r="H20" s="17" t="s">
        <v>61</v>
      </c>
      <c r="I20" s="126"/>
      <c r="J20" s="118">
        <f>450+225+100+100</f>
        <v>875</v>
      </c>
      <c r="K20" s="89">
        <f>20+12+6</f>
        <v>38</v>
      </c>
      <c r="L20" s="88">
        <f>30+14+1</f>
        <v>45</v>
      </c>
      <c r="M20" s="88">
        <f>4+5+2+2</f>
        <v>13</v>
      </c>
      <c r="N20" s="88">
        <v>10</v>
      </c>
      <c r="O20" s="88">
        <f>1</f>
        <v>1</v>
      </c>
      <c r="P20" s="88">
        <f>334+119</f>
        <v>453</v>
      </c>
      <c r="Q20" s="88">
        <f>405+20</f>
        <v>425</v>
      </c>
    </row>
    <row r="21" spans="1:17" s="24" customFormat="1" ht="30" customHeight="1" x14ac:dyDescent="0.3">
      <c r="A21" s="16">
        <v>19</v>
      </c>
      <c r="B21" s="15">
        <v>1999</v>
      </c>
      <c r="C21" s="17" t="s">
        <v>524</v>
      </c>
      <c r="D21" s="15" t="s">
        <v>14</v>
      </c>
      <c r="E21" s="28" t="s">
        <v>62</v>
      </c>
      <c r="F21" s="15" t="s">
        <v>63</v>
      </c>
      <c r="G21" s="15" t="s">
        <v>64</v>
      </c>
      <c r="H21" s="17" t="s">
        <v>65</v>
      </c>
      <c r="I21" s="126"/>
      <c r="J21" s="118">
        <f>325+290+100</f>
        <v>715</v>
      </c>
      <c r="K21" s="89">
        <f>18+15+2</f>
        <v>35</v>
      </c>
      <c r="L21" s="88">
        <f>22+14+4</f>
        <v>40</v>
      </c>
      <c r="M21" s="88">
        <f>4+4+2+3+2</f>
        <v>15</v>
      </c>
      <c r="N21" s="88">
        <v>6</v>
      </c>
      <c r="O21" s="88">
        <f>2+2</f>
        <v>4</v>
      </c>
      <c r="P21" s="88">
        <f>421</f>
        <v>421</v>
      </c>
      <c r="Q21" s="88">
        <f>464+10+52</f>
        <v>526</v>
      </c>
    </row>
    <row r="22" spans="1:17" s="24" customFormat="1" ht="30" customHeight="1" x14ac:dyDescent="0.3">
      <c r="A22" s="16">
        <v>20</v>
      </c>
      <c r="B22" s="15">
        <v>1999</v>
      </c>
      <c r="C22" s="17" t="s">
        <v>543</v>
      </c>
      <c r="D22" s="15" t="s">
        <v>146</v>
      </c>
      <c r="E22" s="28" t="s">
        <v>158</v>
      </c>
      <c r="F22" s="15" t="s">
        <v>159</v>
      </c>
      <c r="G22" s="15" t="s">
        <v>160</v>
      </c>
      <c r="H22" s="17" t="s">
        <v>161</v>
      </c>
      <c r="I22" s="126"/>
      <c r="J22" s="118">
        <f>400+50+50</f>
        <v>500</v>
      </c>
      <c r="K22" s="90">
        <f>9</f>
        <v>9</v>
      </c>
      <c r="L22" s="88">
        <f>24+1</f>
        <v>25</v>
      </c>
      <c r="M22" s="88"/>
      <c r="N22" s="88">
        <f>3</f>
        <v>3</v>
      </c>
      <c r="O22" s="88">
        <f>3</f>
        <v>3</v>
      </c>
      <c r="P22" s="88">
        <f>290+45</f>
        <v>335</v>
      </c>
      <c r="Q22" s="88">
        <f>348</f>
        <v>348</v>
      </c>
    </row>
    <row r="23" spans="1:17" s="24" customFormat="1" ht="30" customHeight="1" x14ac:dyDescent="0.3">
      <c r="A23" s="16">
        <v>21</v>
      </c>
      <c r="B23" s="15">
        <v>1999</v>
      </c>
      <c r="C23" s="17" t="s">
        <v>544</v>
      </c>
      <c r="D23" s="15" t="s">
        <v>146</v>
      </c>
      <c r="E23" s="28" t="s">
        <v>162</v>
      </c>
      <c r="F23" s="15" t="s">
        <v>163</v>
      </c>
      <c r="G23" s="15" t="s">
        <v>164</v>
      </c>
      <c r="H23" s="17" t="s">
        <v>165</v>
      </c>
      <c r="I23" s="126"/>
      <c r="J23" s="118">
        <f>120+320+220</f>
        <v>660</v>
      </c>
      <c r="K23" s="90">
        <f>2+4+3+2+1+1</f>
        <v>13</v>
      </c>
      <c r="L23" s="88">
        <f>6+8+8+4+2</f>
        <v>28</v>
      </c>
      <c r="M23" s="88"/>
      <c r="N23" s="88">
        <f>3+1+5+3</f>
        <v>12</v>
      </c>
      <c r="O23" s="88">
        <f>1+1</f>
        <v>2</v>
      </c>
      <c r="P23" s="88">
        <f>101+78</f>
        <v>179</v>
      </c>
      <c r="Q23" s="88"/>
    </row>
    <row r="24" spans="1:17" s="40" customFormat="1" ht="30" customHeight="1" x14ac:dyDescent="0.3">
      <c r="A24" s="36">
        <v>22</v>
      </c>
      <c r="B24" s="37">
        <v>1999</v>
      </c>
      <c r="C24" s="38" t="s">
        <v>545</v>
      </c>
      <c r="D24" s="37" t="s">
        <v>697</v>
      </c>
      <c r="E24" s="39" t="s">
        <v>166</v>
      </c>
      <c r="F24" s="37" t="s">
        <v>167</v>
      </c>
      <c r="G24" s="37" t="s">
        <v>164</v>
      </c>
      <c r="H24" s="38" t="s">
        <v>168</v>
      </c>
      <c r="I24" s="128" t="s">
        <v>697</v>
      </c>
      <c r="J24" s="120"/>
      <c r="K24" s="94"/>
      <c r="L24" s="93"/>
      <c r="M24" s="93"/>
      <c r="N24" s="93"/>
      <c r="O24" s="93"/>
      <c r="P24" s="93"/>
      <c r="Q24" s="93"/>
    </row>
    <row r="25" spans="1:17" s="40" customFormat="1" ht="30" customHeight="1" x14ac:dyDescent="0.3">
      <c r="A25" s="36">
        <v>23</v>
      </c>
      <c r="B25" s="37">
        <v>2000</v>
      </c>
      <c r="C25" s="38" t="s">
        <v>525</v>
      </c>
      <c r="D25" s="37" t="s">
        <v>14</v>
      </c>
      <c r="E25" s="39" t="s">
        <v>66</v>
      </c>
      <c r="F25" s="37" t="s">
        <v>67</v>
      </c>
      <c r="G25" s="37" t="s">
        <v>68</v>
      </c>
      <c r="H25" s="38" t="s">
        <v>69</v>
      </c>
      <c r="I25" s="128"/>
      <c r="J25" s="120">
        <f>240+350+240+240+240</f>
        <v>1310</v>
      </c>
      <c r="K25" s="95">
        <f>17</f>
        <v>17</v>
      </c>
      <c r="L25" s="93">
        <f>14+22+6+3</f>
        <v>45</v>
      </c>
      <c r="M25" s="93">
        <f>8+4+4+1</f>
        <v>17</v>
      </c>
      <c r="N25" s="93">
        <f>2+0</f>
        <v>2</v>
      </c>
      <c r="O25" s="93">
        <f>1</f>
        <v>1</v>
      </c>
      <c r="P25" s="93">
        <f>846+1187+1139</f>
        <v>3172</v>
      </c>
      <c r="Q25" s="93">
        <f>139+93</f>
        <v>232</v>
      </c>
    </row>
    <row r="26" spans="1:17" s="40" customFormat="1" ht="30" customHeight="1" x14ac:dyDescent="0.3">
      <c r="A26" s="36">
        <v>24</v>
      </c>
      <c r="B26" s="37">
        <v>2000</v>
      </c>
      <c r="C26" s="38" t="s">
        <v>414</v>
      </c>
      <c r="D26" s="37" t="s">
        <v>14</v>
      </c>
      <c r="E26" s="39" t="s">
        <v>70</v>
      </c>
      <c r="F26" s="37" t="s">
        <v>71</v>
      </c>
      <c r="G26" s="37" t="s">
        <v>72</v>
      </c>
      <c r="H26" s="38" t="s">
        <v>73</v>
      </c>
      <c r="I26" s="128"/>
      <c r="J26" s="120">
        <f>430+240+170</f>
        <v>840</v>
      </c>
      <c r="K26" s="95">
        <f>23+12+4</f>
        <v>39</v>
      </c>
      <c r="L26" s="93">
        <f>14</f>
        <v>14</v>
      </c>
      <c r="M26" s="93">
        <f>3+1+3+2</f>
        <v>9</v>
      </c>
      <c r="N26" s="93">
        <f>2+3</f>
        <v>5</v>
      </c>
      <c r="O26" s="93">
        <f>2+1+1</f>
        <v>4</v>
      </c>
      <c r="P26" s="93">
        <f>4374+411+332</f>
        <v>5117</v>
      </c>
      <c r="Q26" s="93">
        <f>190+166</f>
        <v>356</v>
      </c>
    </row>
    <row r="27" spans="1:17" s="40" customFormat="1" ht="30" customHeight="1" x14ac:dyDescent="0.3">
      <c r="A27" s="36">
        <v>25</v>
      </c>
      <c r="B27" s="37">
        <v>2000</v>
      </c>
      <c r="C27" s="38" t="s">
        <v>414</v>
      </c>
      <c r="D27" s="37" t="s">
        <v>375</v>
      </c>
      <c r="E27" s="39" t="s">
        <v>376</v>
      </c>
      <c r="F27" s="37" t="s">
        <v>377</v>
      </c>
      <c r="G27" s="37" t="s">
        <v>312</v>
      </c>
      <c r="H27" s="38" t="s">
        <v>378</v>
      </c>
      <c r="I27" s="129"/>
      <c r="J27" s="120">
        <f>245+120</f>
        <v>365</v>
      </c>
      <c r="K27" s="95">
        <f>16+14</f>
        <v>30</v>
      </c>
      <c r="L27" s="93">
        <f>28+16</f>
        <v>44</v>
      </c>
      <c r="M27" s="93"/>
      <c r="N27" s="93">
        <f>1</f>
        <v>1</v>
      </c>
      <c r="O27" s="93"/>
      <c r="P27" s="93">
        <f>420</f>
        <v>420</v>
      </c>
      <c r="Q27" s="93"/>
    </row>
    <row r="28" spans="1:17" s="40" customFormat="1" ht="30" customHeight="1" x14ac:dyDescent="0.3">
      <c r="A28" s="36">
        <v>26</v>
      </c>
      <c r="B28" s="37">
        <v>2000</v>
      </c>
      <c r="C28" s="38" t="s">
        <v>546</v>
      </c>
      <c r="D28" s="37" t="s">
        <v>146</v>
      </c>
      <c r="E28" s="39" t="s">
        <v>169</v>
      </c>
      <c r="F28" s="37" t="s">
        <v>170</v>
      </c>
      <c r="G28" s="37" t="s">
        <v>171</v>
      </c>
      <c r="H28" s="38" t="s">
        <v>172</v>
      </c>
      <c r="I28" s="128"/>
      <c r="J28" s="120">
        <f>290+110</f>
        <v>400</v>
      </c>
      <c r="K28" s="94">
        <f>9+1</f>
        <v>10</v>
      </c>
      <c r="L28" s="93">
        <f>10+2</f>
        <v>12</v>
      </c>
      <c r="M28" s="93">
        <f>2</f>
        <v>2</v>
      </c>
      <c r="N28" s="93">
        <f>3+3</f>
        <v>6</v>
      </c>
      <c r="O28" s="93">
        <f>1</f>
        <v>1</v>
      </c>
      <c r="P28" s="93">
        <f>220+126</f>
        <v>346</v>
      </c>
      <c r="Q28" s="93">
        <f>447+91</f>
        <v>538</v>
      </c>
    </row>
    <row r="29" spans="1:17" s="40" customFormat="1" ht="30" customHeight="1" x14ac:dyDescent="0.3">
      <c r="A29" s="36">
        <v>27</v>
      </c>
      <c r="B29" s="37">
        <v>2000</v>
      </c>
      <c r="C29" s="38" t="s">
        <v>547</v>
      </c>
      <c r="D29" s="37" t="s">
        <v>146</v>
      </c>
      <c r="E29" s="39" t="s">
        <v>173</v>
      </c>
      <c r="F29" s="37" t="s">
        <v>174</v>
      </c>
      <c r="G29" s="37" t="s">
        <v>175</v>
      </c>
      <c r="H29" s="38" t="s">
        <v>176</v>
      </c>
      <c r="I29" s="129"/>
      <c r="J29" s="120">
        <v>80</v>
      </c>
      <c r="K29" s="94">
        <v>4</v>
      </c>
      <c r="L29" s="93">
        <v>4</v>
      </c>
      <c r="M29" s="93"/>
      <c r="N29" s="93">
        <v>2</v>
      </c>
      <c r="O29" s="93"/>
      <c r="P29" s="93"/>
      <c r="Q29" s="93"/>
    </row>
    <row r="30" spans="1:17" s="24" customFormat="1" ht="30" customHeight="1" x14ac:dyDescent="0.3">
      <c r="A30" s="16">
        <v>28</v>
      </c>
      <c r="B30" s="15">
        <v>2000</v>
      </c>
      <c r="C30" s="17" t="s">
        <v>548</v>
      </c>
      <c r="D30" s="15" t="s">
        <v>697</v>
      </c>
      <c r="E30" s="28" t="s">
        <v>177</v>
      </c>
      <c r="F30" s="15" t="s">
        <v>178</v>
      </c>
      <c r="G30" s="15" t="s">
        <v>179</v>
      </c>
      <c r="H30" s="17" t="s">
        <v>180</v>
      </c>
      <c r="I30" s="126" t="s">
        <v>697</v>
      </c>
      <c r="J30" s="118">
        <v>140</v>
      </c>
      <c r="K30" s="90">
        <v>1</v>
      </c>
      <c r="L30" s="88"/>
      <c r="M30" s="88"/>
      <c r="N30" s="88">
        <v>4</v>
      </c>
      <c r="O30" s="88"/>
      <c r="P30" s="88"/>
      <c r="Q30" s="88"/>
    </row>
    <row r="31" spans="1:17" s="24" customFormat="1" ht="30" customHeight="1" x14ac:dyDescent="0.3">
      <c r="A31" s="16">
        <v>29</v>
      </c>
      <c r="B31" s="15">
        <v>2000</v>
      </c>
      <c r="C31" s="17" t="s">
        <v>549</v>
      </c>
      <c r="D31" s="15" t="s">
        <v>146</v>
      </c>
      <c r="E31" s="28" t="s">
        <v>181</v>
      </c>
      <c r="F31" s="15" t="s">
        <v>182</v>
      </c>
      <c r="G31" s="15" t="s">
        <v>160</v>
      </c>
      <c r="H31" s="17" t="s">
        <v>183</v>
      </c>
      <c r="I31" s="126"/>
      <c r="J31" s="118">
        <v>150</v>
      </c>
      <c r="K31" s="90">
        <v>4</v>
      </c>
      <c r="L31" s="88">
        <v>4</v>
      </c>
      <c r="M31" s="88"/>
      <c r="N31" s="88">
        <v>2</v>
      </c>
      <c r="O31" s="88"/>
      <c r="P31" s="88"/>
      <c r="Q31" s="88"/>
    </row>
    <row r="32" spans="1:17" s="24" customFormat="1" ht="30" customHeight="1" x14ac:dyDescent="0.3">
      <c r="A32" s="16">
        <v>30</v>
      </c>
      <c r="B32" s="15">
        <v>2000</v>
      </c>
      <c r="C32" s="17" t="s">
        <v>550</v>
      </c>
      <c r="D32" s="15" t="s">
        <v>146</v>
      </c>
      <c r="E32" s="28" t="s">
        <v>184</v>
      </c>
      <c r="F32" s="15" t="s">
        <v>185</v>
      </c>
      <c r="G32" s="15" t="s">
        <v>186</v>
      </c>
      <c r="H32" s="17" t="s">
        <v>187</v>
      </c>
      <c r="I32" s="126"/>
      <c r="J32" s="118">
        <f>130+110</f>
        <v>240</v>
      </c>
      <c r="K32" s="90">
        <f>4+2</f>
        <v>6</v>
      </c>
      <c r="L32" s="88">
        <f>3+2</f>
        <v>5</v>
      </c>
      <c r="M32" s="88"/>
      <c r="N32" s="88">
        <f>2+2</f>
        <v>4</v>
      </c>
      <c r="O32" s="88"/>
      <c r="P32" s="88"/>
      <c r="Q32" s="88"/>
    </row>
    <row r="33" spans="1:17" s="24" customFormat="1" ht="30" customHeight="1" x14ac:dyDescent="0.3">
      <c r="A33" s="16">
        <v>31</v>
      </c>
      <c r="B33" s="15">
        <v>2001</v>
      </c>
      <c r="C33" s="17" t="s">
        <v>415</v>
      </c>
      <c r="D33" s="15" t="s">
        <v>14</v>
      </c>
      <c r="E33" s="28" t="s">
        <v>74</v>
      </c>
      <c r="F33" s="15" t="s">
        <v>75</v>
      </c>
      <c r="G33" s="15" t="s">
        <v>29</v>
      </c>
      <c r="H33" s="17" t="s">
        <v>76</v>
      </c>
      <c r="I33" s="126"/>
      <c r="J33" s="118">
        <f>750+230+230</f>
        <v>1210</v>
      </c>
      <c r="K33" s="89">
        <f>28+8+10</f>
        <v>46</v>
      </c>
      <c r="L33" s="88">
        <f>18+6+4</f>
        <v>28</v>
      </c>
      <c r="M33" s="88">
        <f>5+2</f>
        <v>7</v>
      </c>
      <c r="N33" s="88"/>
      <c r="O33" s="88">
        <f>1</f>
        <v>1</v>
      </c>
      <c r="P33" s="88">
        <f>6706+1252+502</f>
        <v>8460</v>
      </c>
      <c r="Q33" s="88">
        <f>1037+384+222</f>
        <v>1643</v>
      </c>
    </row>
    <row r="34" spans="1:17" s="24" customFormat="1" ht="30" customHeight="1" x14ac:dyDescent="0.3">
      <c r="A34" s="16">
        <v>32</v>
      </c>
      <c r="B34" s="15">
        <v>2017</v>
      </c>
      <c r="C34" s="17" t="s">
        <v>415</v>
      </c>
      <c r="D34" s="15" t="s">
        <v>219</v>
      </c>
      <c r="E34" s="28" t="s">
        <v>496</v>
      </c>
      <c r="F34" s="15" t="s">
        <v>383</v>
      </c>
      <c r="G34" s="15" t="s">
        <v>223</v>
      </c>
      <c r="H34" s="17" t="s">
        <v>384</v>
      </c>
      <c r="I34" s="130"/>
      <c r="J34" s="118">
        <f>110+155</f>
        <v>265</v>
      </c>
      <c r="K34" s="90">
        <f>6+14</f>
        <v>20</v>
      </c>
      <c r="L34" s="88">
        <f>10+16</f>
        <v>26</v>
      </c>
      <c r="M34" s="88"/>
      <c r="N34" s="88">
        <f>1+3</f>
        <v>4</v>
      </c>
      <c r="O34" s="88"/>
      <c r="P34" s="88">
        <f>4</f>
        <v>4</v>
      </c>
      <c r="Q34" s="88"/>
    </row>
    <row r="35" spans="1:17" s="24" customFormat="1" ht="30" customHeight="1" x14ac:dyDescent="0.3">
      <c r="A35" s="16">
        <v>33</v>
      </c>
      <c r="B35" s="15">
        <v>2001</v>
      </c>
      <c r="C35" s="17" t="s">
        <v>551</v>
      </c>
      <c r="D35" s="15" t="s">
        <v>146</v>
      </c>
      <c r="E35" s="28" t="s">
        <v>188</v>
      </c>
      <c r="F35" s="15" t="s">
        <v>189</v>
      </c>
      <c r="G35" s="15" t="s">
        <v>149</v>
      </c>
      <c r="H35" s="17" t="s">
        <v>190</v>
      </c>
      <c r="I35" s="126"/>
      <c r="J35" s="118">
        <v>160</v>
      </c>
      <c r="K35" s="90">
        <v>4</v>
      </c>
      <c r="L35" s="88">
        <v>2</v>
      </c>
      <c r="M35" s="88"/>
      <c r="N35" s="88">
        <v>7</v>
      </c>
      <c r="O35" s="88">
        <v>1</v>
      </c>
      <c r="P35" s="88"/>
      <c r="Q35" s="88"/>
    </row>
    <row r="36" spans="1:17" s="24" customFormat="1" ht="30" customHeight="1" x14ac:dyDescent="0.3">
      <c r="A36" s="16">
        <v>34</v>
      </c>
      <c r="B36" s="15">
        <v>2001</v>
      </c>
      <c r="C36" s="17" t="s">
        <v>552</v>
      </c>
      <c r="D36" s="15" t="s">
        <v>146</v>
      </c>
      <c r="E36" s="28" t="s">
        <v>191</v>
      </c>
      <c r="F36" s="15" t="s">
        <v>192</v>
      </c>
      <c r="G36" s="15" t="s">
        <v>153</v>
      </c>
      <c r="H36" s="17" t="s">
        <v>193</v>
      </c>
      <c r="I36" s="126"/>
      <c r="J36" s="118">
        <f>400+50</f>
        <v>450</v>
      </c>
      <c r="K36" s="90">
        <v>5</v>
      </c>
      <c r="L36" s="88">
        <v>19</v>
      </c>
      <c r="M36" s="88">
        <v>4</v>
      </c>
      <c r="N36" s="88">
        <v>4</v>
      </c>
      <c r="O36" s="88"/>
      <c r="P36" s="88"/>
      <c r="Q36" s="88">
        <v>158</v>
      </c>
    </row>
    <row r="37" spans="1:17" s="24" customFormat="1" ht="30" customHeight="1" x14ac:dyDescent="0.3">
      <c r="A37" s="16">
        <v>35</v>
      </c>
      <c r="B37" s="15">
        <v>2001</v>
      </c>
      <c r="C37" s="17" t="s">
        <v>553</v>
      </c>
      <c r="D37" s="15" t="s">
        <v>146</v>
      </c>
      <c r="E37" s="28" t="s">
        <v>194</v>
      </c>
      <c r="F37" s="15" t="s">
        <v>195</v>
      </c>
      <c r="G37" s="15" t="s">
        <v>175</v>
      </c>
      <c r="H37" s="17" t="s">
        <v>196</v>
      </c>
      <c r="I37" s="126"/>
      <c r="J37" s="118">
        <v>240</v>
      </c>
      <c r="K37" s="90"/>
      <c r="L37" s="88"/>
      <c r="M37" s="88"/>
      <c r="N37" s="88"/>
      <c r="O37" s="88"/>
      <c r="P37" s="88"/>
      <c r="Q37" s="88"/>
    </row>
    <row r="38" spans="1:17" s="24" customFormat="1" ht="30" customHeight="1" x14ac:dyDescent="0.3">
      <c r="A38" s="16">
        <v>36</v>
      </c>
      <c r="B38" s="15">
        <v>2001</v>
      </c>
      <c r="C38" s="17" t="s">
        <v>554</v>
      </c>
      <c r="D38" s="15" t="s">
        <v>146</v>
      </c>
      <c r="E38" s="28" t="s">
        <v>197</v>
      </c>
      <c r="F38" s="15" t="s">
        <v>198</v>
      </c>
      <c r="G38" s="15" t="s">
        <v>199</v>
      </c>
      <c r="H38" s="17" t="s">
        <v>200</v>
      </c>
      <c r="I38" s="126"/>
      <c r="J38" s="118"/>
      <c r="K38" s="90"/>
      <c r="L38" s="88"/>
      <c r="M38" s="88"/>
      <c r="N38" s="88"/>
      <c r="O38" s="88"/>
      <c r="P38" s="88"/>
      <c r="Q38" s="88"/>
    </row>
    <row r="39" spans="1:17" s="24" customFormat="1" ht="30" customHeight="1" x14ac:dyDescent="0.3">
      <c r="A39" s="16">
        <v>37</v>
      </c>
      <c r="B39" s="15">
        <v>2001</v>
      </c>
      <c r="C39" s="17" t="s">
        <v>555</v>
      </c>
      <c r="D39" s="15" t="s">
        <v>146</v>
      </c>
      <c r="E39" s="28" t="s">
        <v>201</v>
      </c>
      <c r="F39" s="15" t="s">
        <v>202</v>
      </c>
      <c r="G39" s="15" t="s">
        <v>149</v>
      </c>
      <c r="H39" s="17" t="s">
        <v>203</v>
      </c>
      <c r="I39" s="126"/>
      <c r="J39" s="118">
        <f>550+620</f>
        <v>1170</v>
      </c>
      <c r="K39" s="90">
        <f>16+12</f>
        <v>28</v>
      </c>
      <c r="L39" s="88">
        <f>14+17</f>
        <v>31</v>
      </c>
      <c r="M39" s="88">
        <f>4+1</f>
        <v>5</v>
      </c>
      <c r="N39" s="88">
        <f>8+9</f>
        <v>17</v>
      </c>
      <c r="O39" s="88">
        <f>6+2</f>
        <v>8</v>
      </c>
      <c r="P39" s="88">
        <f>1154+0</f>
        <v>1154</v>
      </c>
      <c r="Q39" s="88">
        <f>90</f>
        <v>90</v>
      </c>
    </row>
    <row r="40" spans="1:17" s="24" customFormat="1" ht="30" customHeight="1" x14ac:dyDescent="0.3">
      <c r="A40" s="16">
        <v>38</v>
      </c>
      <c r="B40" s="15">
        <v>2002</v>
      </c>
      <c r="C40" s="17" t="s">
        <v>526</v>
      </c>
      <c r="D40" s="15" t="s">
        <v>14</v>
      </c>
      <c r="E40" s="28" t="s">
        <v>77</v>
      </c>
      <c r="F40" s="15" t="s">
        <v>78</v>
      </c>
      <c r="G40" s="15" t="s">
        <v>60</v>
      </c>
      <c r="H40" s="17" t="s">
        <v>79</v>
      </c>
      <c r="I40" s="126"/>
      <c r="J40" s="118">
        <f>296+195+168</f>
        <v>659</v>
      </c>
      <c r="K40" s="89">
        <f>3+8+9</f>
        <v>20</v>
      </c>
      <c r="L40" s="88">
        <f>17+4+6</f>
        <v>27</v>
      </c>
      <c r="M40" s="88">
        <f>1+9+4</f>
        <v>14</v>
      </c>
      <c r="N40" s="88">
        <f>5+2+3</f>
        <v>10</v>
      </c>
      <c r="O40" s="88">
        <f>1</f>
        <v>1</v>
      </c>
      <c r="P40" s="88">
        <f>213+105+422</f>
        <v>740</v>
      </c>
      <c r="Q40" s="88">
        <f>185+88+431</f>
        <v>704</v>
      </c>
    </row>
    <row r="41" spans="1:17" s="24" customFormat="1" ht="30" customHeight="1" x14ac:dyDescent="0.3">
      <c r="A41" s="16">
        <v>39</v>
      </c>
      <c r="B41" s="15">
        <v>2002</v>
      </c>
      <c r="C41" s="17" t="s">
        <v>527</v>
      </c>
      <c r="D41" s="15" t="s">
        <v>14</v>
      </c>
      <c r="E41" s="28" t="s">
        <v>80</v>
      </c>
      <c r="F41" s="15" t="s">
        <v>81</v>
      </c>
      <c r="G41" s="15" t="s">
        <v>17</v>
      </c>
      <c r="H41" s="17" t="s">
        <v>82</v>
      </c>
      <c r="I41" s="130"/>
      <c r="J41" s="118">
        <f>550+550</f>
        <v>1100</v>
      </c>
      <c r="K41" s="89">
        <f>15+17</f>
        <v>32</v>
      </c>
      <c r="L41" s="88">
        <f>18+16</f>
        <v>34</v>
      </c>
      <c r="M41" s="88">
        <f>2+5+18+12</f>
        <v>37</v>
      </c>
      <c r="N41" s="88">
        <f>12</f>
        <v>12</v>
      </c>
      <c r="O41" s="88">
        <f>8+4</f>
        <v>12</v>
      </c>
      <c r="P41" s="88">
        <f>1738+279</f>
        <v>2017</v>
      </c>
      <c r="Q41" s="88">
        <f>1483+131</f>
        <v>1614</v>
      </c>
    </row>
    <row r="42" spans="1:17" s="24" customFormat="1" ht="30" customHeight="1" x14ac:dyDescent="0.3">
      <c r="A42" s="16">
        <v>40</v>
      </c>
      <c r="B42" s="15">
        <v>2003</v>
      </c>
      <c r="C42" s="17" t="s">
        <v>528</v>
      </c>
      <c r="D42" s="15" t="s">
        <v>14</v>
      </c>
      <c r="E42" s="28" t="s">
        <v>83</v>
      </c>
      <c r="F42" s="15" t="s">
        <v>84</v>
      </c>
      <c r="G42" s="15" t="s">
        <v>64</v>
      </c>
      <c r="H42" s="17" t="s">
        <v>85</v>
      </c>
      <c r="I42" s="126"/>
      <c r="J42" s="118">
        <f>510</f>
        <v>510</v>
      </c>
      <c r="K42" s="89">
        <v>13</v>
      </c>
      <c r="L42" s="88">
        <v>48</v>
      </c>
      <c r="M42" s="88">
        <f>3+8</f>
        <v>11</v>
      </c>
      <c r="N42" s="88">
        <v>1</v>
      </c>
      <c r="O42" s="88">
        <v>2</v>
      </c>
      <c r="P42" s="88">
        <v>1496</v>
      </c>
      <c r="Q42" s="88">
        <v>736</v>
      </c>
    </row>
    <row r="43" spans="1:17" s="24" customFormat="1" ht="30" customHeight="1" x14ac:dyDescent="0.3">
      <c r="A43" s="16">
        <v>41</v>
      </c>
      <c r="B43" s="15">
        <v>2003</v>
      </c>
      <c r="C43" s="17" t="s">
        <v>529</v>
      </c>
      <c r="D43" s="15" t="s">
        <v>14</v>
      </c>
      <c r="E43" s="28" t="s">
        <v>86</v>
      </c>
      <c r="F43" s="15" t="s">
        <v>87</v>
      </c>
      <c r="G43" s="15" t="s">
        <v>88</v>
      </c>
      <c r="H43" s="17" t="s">
        <v>89</v>
      </c>
      <c r="I43" s="126"/>
      <c r="J43" s="118">
        <v>580</v>
      </c>
      <c r="K43" s="89">
        <v>19</v>
      </c>
      <c r="L43" s="88">
        <v>74</v>
      </c>
      <c r="M43" s="88">
        <f>4+10</f>
        <v>14</v>
      </c>
      <c r="N43" s="88">
        <f>3</f>
        <v>3</v>
      </c>
      <c r="O43" s="88"/>
      <c r="P43" s="88">
        <v>1221</v>
      </c>
      <c r="Q43" s="88">
        <v>596</v>
      </c>
    </row>
    <row r="44" spans="1:17" s="24" customFormat="1" ht="30" customHeight="1" x14ac:dyDescent="0.3">
      <c r="A44" s="16">
        <v>42</v>
      </c>
      <c r="B44" s="15">
        <v>2004</v>
      </c>
      <c r="C44" s="17" t="s">
        <v>530</v>
      </c>
      <c r="D44" s="15" t="s">
        <v>14</v>
      </c>
      <c r="E44" s="28" t="s">
        <v>90</v>
      </c>
      <c r="F44" s="15" t="s">
        <v>91</v>
      </c>
      <c r="G44" s="15" t="s">
        <v>72</v>
      </c>
      <c r="H44" s="17" t="s">
        <v>92</v>
      </c>
      <c r="I44" s="126"/>
      <c r="J44" s="118">
        <f>350+195+100</f>
        <v>645</v>
      </c>
      <c r="K44" s="89">
        <f>10+20+2</f>
        <v>32</v>
      </c>
      <c r="L44" s="88">
        <f>33+12+3</f>
        <v>48</v>
      </c>
      <c r="M44" s="88">
        <f>4+2+5</f>
        <v>11</v>
      </c>
      <c r="N44" s="88">
        <f>2+1</f>
        <v>3</v>
      </c>
      <c r="O44" s="88">
        <f>3</f>
        <v>3</v>
      </c>
      <c r="P44" s="88">
        <f>778+50+274</f>
        <v>1102</v>
      </c>
      <c r="Q44" s="88">
        <f>411+115</f>
        <v>526</v>
      </c>
    </row>
    <row r="45" spans="1:17" s="24" customFormat="1" ht="30" customHeight="1" x14ac:dyDescent="0.3">
      <c r="A45" s="16">
        <v>43</v>
      </c>
      <c r="B45" s="15">
        <v>2004</v>
      </c>
      <c r="C45" s="17" t="s">
        <v>531</v>
      </c>
      <c r="D45" s="15" t="s">
        <v>14</v>
      </c>
      <c r="E45" s="28" t="s">
        <v>93</v>
      </c>
      <c r="F45" s="15" t="s">
        <v>94</v>
      </c>
      <c r="G45" s="15" t="s">
        <v>41</v>
      </c>
      <c r="H45" s="17" t="s">
        <v>95</v>
      </c>
      <c r="I45" s="130"/>
      <c r="J45" s="118">
        <f>400+160+160+445</f>
        <v>1165</v>
      </c>
      <c r="K45" s="89">
        <f>4+8</f>
        <v>12</v>
      </c>
      <c r="L45" s="88">
        <f>14+9+7+19</f>
        <v>49</v>
      </c>
      <c r="M45" s="88">
        <f>3+2+2+1+4</f>
        <v>12</v>
      </c>
      <c r="N45" s="88">
        <f>7+3+4</f>
        <v>14</v>
      </c>
      <c r="O45" s="88">
        <f>2+1+1</f>
        <v>4</v>
      </c>
      <c r="P45" s="88">
        <f>516+266</f>
        <v>782</v>
      </c>
      <c r="Q45" s="88">
        <f>106</f>
        <v>106</v>
      </c>
    </row>
    <row r="46" spans="1:17" s="24" customFormat="1" ht="30" customHeight="1" x14ac:dyDescent="0.3">
      <c r="A46" s="16">
        <v>44</v>
      </c>
      <c r="B46" s="15">
        <v>2004</v>
      </c>
      <c r="C46" s="17" t="s">
        <v>532</v>
      </c>
      <c r="D46" s="15" t="s">
        <v>14</v>
      </c>
      <c r="E46" s="28" t="s">
        <v>96</v>
      </c>
      <c r="F46" s="15" t="s">
        <v>97</v>
      </c>
      <c r="G46" s="15" t="s">
        <v>88</v>
      </c>
      <c r="H46" s="17" t="s">
        <v>98</v>
      </c>
      <c r="I46" s="126"/>
      <c r="J46" s="118">
        <f>190+180+240+250</f>
        <v>860</v>
      </c>
      <c r="K46" s="89">
        <f>14+11</f>
        <v>25</v>
      </c>
      <c r="L46" s="88">
        <f>7+3+6</f>
        <v>16</v>
      </c>
      <c r="M46" s="88">
        <f>2+3+2+2+2</f>
        <v>11</v>
      </c>
      <c r="N46" s="88">
        <f>3+8+4</f>
        <v>15</v>
      </c>
      <c r="O46" s="88">
        <f>1+1+7</f>
        <v>9</v>
      </c>
      <c r="P46" s="88">
        <f>360+36+177</f>
        <v>573</v>
      </c>
      <c r="Q46" s="88">
        <f>86+135</f>
        <v>221</v>
      </c>
    </row>
    <row r="47" spans="1:17" s="24" customFormat="1" ht="30" customHeight="1" x14ac:dyDescent="0.3">
      <c r="A47" s="16">
        <v>45</v>
      </c>
      <c r="B47" s="15">
        <v>2004</v>
      </c>
      <c r="C47" s="17" t="s">
        <v>533</v>
      </c>
      <c r="D47" s="15" t="s">
        <v>14</v>
      </c>
      <c r="E47" s="28" t="s">
        <v>99</v>
      </c>
      <c r="F47" s="15" t="s">
        <v>100</v>
      </c>
      <c r="G47" s="15" t="s">
        <v>88</v>
      </c>
      <c r="H47" s="17" t="s">
        <v>101</v>
      </c>
      <c r="I47" s="126"/>
      <c r="J47" s="118">
        <f>320+200</f>
        <v>520</v>
      </c>
      <c r="K47" s="89">
        <f>8+8</f>
        <v>16</v>
      </c>
      <c r="L47" s="88">
        <f>13+6</f>
        <v>19</v>
      </c>
      <c r="M47" s="88">
        <f>2+2+2+10</f>
        <v>16</v>
      </c>
      <c r="N47" s="88">
        <v>9</v>
      </c>
      <c r="O47" s="88">
        <f>2+3</f>
        <v>5</v>
      </c>
      <c r="P47" s="88">
        <f>330+382</f>
        <v>712</v>
      </c>
      <c r="Q47" s="88">
        <f>480</f>
        <v>480</v>
      </c>
    </row>
    <row r="48" spans="1:17" s="24" customFormat="1" ht="30" customHeight="1" x14ac:dyDescent="0.3">
      <c r="A48" s="16">
        <v>46</v>
      </c>
      <c r="B48" s="15">
        <v>2004</v>
      </c>
      <c r="C48" s="17" t="s">
        <v>534</v>
      </c>
      <c r="D48" s="15" t="s">
        <v>14</v>
      </c>
      <c r="E48" s="28" t="s">
        <v>102</v>
      </c>
      <c r="F48" s="15" t="s">
        <v>103</v>
      </c>
      <c r="G48" s="15" t="s">
        <v>41</v>
      </c>
      <c r="H48" s="17" t="s">
        <v>104</v>
      </c>
      <c r="I48" s="126"/>
      <c r="J48" s="118">
        <f>540+400</f>
        <v>940</v>
      </c>
      <c r="K48" s="89">
        <f>29+15</f>
        <v>44</v>
      </c>
      <c r="L48" s="88">
        <f>14</f>
        <v>14</v>
      </c>
      <c r="M48" s="88">
        <f>4+1+1+5</f>
        <v>11</v>
      </c>
      <c r="N48" s="88">
        <f>3+8</f>
        <v>11</v>
      </c>
      <c r="O48" s="88"/>
      <c r="P48" s="88">
        <f>143+353</f>
        <v>496</v>
      </c>
      <c r="Q48" s="88">
        <f>1088+280</f>
        <v>1368</v>
      </c>
    </row>
    <row r="49" spans="1:17" s="24" customFormat="1" ht="30" customHeight="1" x14ac:dyDescent="0.3">
      <c r="A49" s="16">
        <v>47</v>
      </c>
      <c r="B49" s="15">
        <v>2005</v>
      </c>
      <c r="C49" s="17" t="s">
        <v>535</v>
      </c>
      <c r="D49" s="15" t="s">
        <v>105</v>
      </c>
      <c r="E49" s="28" t="s">
        <v>106</v>
      </c>
      <c r="F49" s="15" t="s">
        <v>107</v>
      </c>
      <c r="G49" s="15" t="s">
        <v>108</v>
      </c>
      <c r="H49" s="17" t="s">
        <v>109</v>
      </c>
      <c r="I49" s="126"/>
      <c r="J49" s="118">
        <f>380+350+100</f>
        <v>830</v>
      </c>
      <c r="K49" s="89">
        <f>15+56</f>
        <v>71</v>
      </c>
      <c r="L49" s="88">
        <f>14+58+2</f>
        <v>74</v>
      </c>
      <c r="M49" s="88">
        <f>2+5+4+1</f>
        <v>12</v>
      </c>
      <c r="N49" s="88">
        <f>4+1</f>
        <v>5</v>
      </c>
      <c r="O49" s="88">
        <v>8</v>
      </c>
      <c r="P49" s="88">
        <f>438+144</f>
        <v>582</v>
      </c>
      <c r="Q49" s="88">
        <f>358+140</f>
        <v>498</v>
      </c>
    </row>
    <row r="50" spans="1:17" s="24" customFormat="1" ht="30" customHeight="1" x14ac:dyDescent="0.3">
      <c r="A50" s="16">
        <v>48</v>
      </c>
      <c r="B50" s="15">
        <v>2005</v>
      </c>
      <c r="C50" s="17" t="s">
        <v>536</v>
      </c>
      <c r="D50" s="15" t="s">
        <v>110</v>
      </c>
      <c r="E50" s="28" t="s">
        <v>111</v>
      </c>
      <c r="F50" s="15" t="s">
        <v>112</v>
      </c>
      <c r="G50" s="15" t="s">
        <v>113</v>
      </c>
      <c r="H50" s="17" t="s">
        <v>114</v>
      </c>
      <c r="I50" s="126"/>
      <c r="J50" s="118">
        <v>27</v>
      </c>
      <c r="K50" s="89">
        <f>24+2</f>
        <v>26</v>
      </c>
      <c r="L50" s="88">
        <f>24+11</f>
        <v>35</v>
      </c>
      <c r="M50" s="88">
        <f>4+5+2+2</f>
        <v>13</v>
      </c>
      <c r="N50" s="88">
        <f>8+2</f>
        <v>10</v>
      </c>
      <c r="O50" s="88">
        <f>2+1</f>
        <v>3</v>
      </c>
      <c r="P50" s="88">
        <f>440</f>
        <v>440</v>
      </c>
      <c r="Q50" s="88">
        <f>276</f>
        <v>276</v>
      </c>
    </row>
    <row r="51" spans="1:17" s="24" customFormat="1" ht="30" customHeight="1" x14ac:dyDescent="0.3">
      <c r="A51" s="16">
        <v>49</v>
      </c>
      <c r="B51" s="15">
        <v>2005</v>
      </c>
      <c r="C51" s="17" t="s">
        <v>416</v>
      </c>
      <c r="D51" s="15" t="s">
        <v>110</v>
      </c>
      <c r="E51" s="28" t="s">
        <v>115</v>
      </c>
      <c r="F51" s="15" t="s">
        <v>116</v>
      </c>
      <c r="G51" s="15" t="s">
        <v>117</v>
      </c>
      <c r="H51" s="17" t="s">
        <v>118</v>
      </c>
      <c r="I51" s="126"/>
      <c r="J51" s="118">
        <f>750+230</f>
        <v>980</v>
      </c>
      <c r="K51" s="89">
        <f>17</f>
        <v>17</v>
      </c>
      <c r="L51" s="88">
        <f>17</f>
        <v>17</v>
      </c>
      <c r="M51" s="88">
        <f>4+8</f>
        <v>12</v>
      </c>
      <c r="N51" s="88">
        <f>2</f>
        <v>2</v>
      </c>
      <c r="O51" s="88">
        <f>8+4</f>
        <v>12</v>
      </c>
      <c r="P51" s="88">
        <f>104</f>
        <v>104</v>
      </c>
      <c r="Q51" s="88">
        <f>263</f>
        <v>263</v>
      </c>
    </row>
    <row r="52" spans="1:17" s="24" customFormat="1" ht="30" customHeight="1" x14ac:dyDescent="0.3">
      <c r="A52" s="16">
        <v>50</v>
      </c>
      <c r="B52" s="15">
        <v>2006</v>
      </c>
      <c r="C52" s="17" t="s">
        <v>537</v>
      </c>
      <c r="D52" s="15" t="s">
        <v>110</v>
      </c>
      <c r="E52" s="28" t="s">
        <v>119</v>
      </c>
      <c r="F52" s="15" t="s">
        <v>120</v>
      </c>
      <c r="G52" s="15" t="s">
        <v>121</v>
      </c>
      <c r="H52" s="17" t="s">
        <v>122</v>
      </c>
      <c r="I52" s="126"/>
      <c r="J52" s="118">
        <f>365+360+140+50</f>
        <v>915</v>
      </c>
      <c r="K52" s="89">
        <f>12+0</f>
        <v>12</v>
      </c>
      <c r="L52" s="88">
        <f>32+13+5</f>
        <v>50</v>
      </c>
      <c r="M52" s="88">
        <f>4+5+2+3+0</f>
        <v>14</v>
      </c>
      <c r="N52" s="88">
        <f>2+1</f>
        <v>3</v>
      </c>
      <c r="O52" s="88">
        <f>0</f>
        <v>0</v>
      </c>
      <c r="P52" s="88">
        <f>212+1224</f>
        <v>1436</v>
      </c>
      <c r="Q52" s="88">
        <f>587+150</f>
        <v>737</v>
      </c>
    </row>
    <row r="53" spans="1:17" s="24" customFormat="1" ht="30" customHeight="1" x14ac:dyDescent="0.3">
      <c r="A53" s="16">
        <v>51</v>
      </c>
      <c r="B53" s="15">
        <v>2006</v>
      </c>
      <c r="C53" s="17" t="s">
        <v>417</v>
      </c>
      <c r="D53" s="15" t="s">
        <v>237</v>
      </c>
      <c r="E53" s="28" t="s">
        <v>238</v>
      </c>
      <c r="F53" s="15" t="s">
        <v>239</v>
      </c>
      <c r="G53" s="15" t="s">
        <v>240</v>
      </c>
      <c r="H53" s="17" t="s">
        <v>241</v>
      </c>
      <c r="I53" s="126"/>
      <c r="J53" s="118">
        <f>130+80</f>
        <v>210</v>
      </c>
      <c r="K53" s="90">
        <f>6+2</f>
        <v>8</v>
      </c>
      <c r="L53" s="88"/>
      <c r="M53" s="88"/>
      <c r="N53" s="88"/>
      <c r="O53" s="88"/>
      <c r="P53" s="88"/>
      <c r="Q53" s="88"/>
    </row>
    <row r="54" spans="1:17" s="24" customFormat="1" ht="30" customHeight="1" x14ac:dyDescent="0.3">
      <c r="A54" s="16">
        <v>52</v>
      </c>
      <c r="B54" s="15">
        <v>2006</v>
      </c>
      <c r="C54" s="17" t="s">
        <v>418</v>
      </c>
      <c r="D54" s="15" t="s">
        <v>242</v>
      </c>
      <c r="E54" s="28" t="s">
        <v>243</v>
      </c>
      <c r="F54" s="15" t="s">
        <v>244</v>
      </c>
      <c r="G54" s="15" t="s">
        <v>245</v>
      </c>
      <c r="H54" s="17" t="s">
        <v>246</v>
      </c>
      <c r="I54" s="130"/>
      <c r="J54" s="118">
        <v>240</v>
      </c>
      <c r="K54" s="90">
        <f>8</f>
        <v>8</v>
      </c>
      <c r="L54" s="88">
        <f>3+3</f>
        <v>6</v>
      </c>
      <c r="M54" s="88"/>
      <c r="N54" s="88">
        <v>6</v>
      </c>
      <c r="O54" s="88"/>
      <c r="P54" s="88">
        <v>190</v>
      </c>
      <c r="Q54" s="88"/>
    </row>
    <row r="55" spans="1:17" s="24" customFormat="1" ht="30" customHeight="1" x14ac:dyDescent="0.3">
      <c r="A55" s="16">
        <v>53</v>
      </c>
      <c r="B55" s="15">
        <v>2006</v>
      </c>
      <c r="C55" s="17" t="s">
        <v>419</v>
      </c>
      <c r="D55" s="15" t="s">
        <v>242</v>
      </c>
      <c r="E55" s="28" t="s">
        <v>247</v>
      </c>
      <c r="F55" s="15" t="s">
        <v>248</v>
      </c>
      <c r="G55" s="15" t="s">
        <v>236</v>
      </c>
      <c r="H55" s="17" t="s">
        <v>249</v>
      </c>
      <c r="I55" s="126"/>
      <c r="J55" s="118">
        <f>120+140</f>
        <v>260</v>
      </c>
      <c r="K55" s="90">
        <f>3+4</f>
        <v>7</v>
      </c>
      <c r="L55" s="88">
        <f>3+4</f>
        <v>7</v>
      </c>
      <c r="M55" s="88"/>
      <c r="N55" s="88">
        <v>7</v>
      </c>
      <c r="O55" s="88"/>
      <c r="P55" s="88">
        <v>220</v>
      </c>
      <c r="Q55" s="88"/>
    </row>
    <row r="56" spans="1:17" s="24" customFormat="1" ht="30" customHeight="1" x14ac:dyDescent="0.3">
      <c r="A56" s="16">
        <v>54</v>
      </c>
      <c r="B56" s="15">
        <v>2006</v>
      </c>
      <c r="C56" s="17" t="s">
        <v>420</v>
      </c>
      <c r="D56" s="15" t="s">
        <v>242</v>
      </c>
      <c r="E56" s="28" t="s">
        <v>250</v>
      </c>
      <c r="F56" s="15" t="s">
        <v>251</v>
      </c>
      <c r="G56" s="15" t="s">
        <v>234</v>
      </c>
      <c r="H56" s="17" t="s">
        <v>252</v>
      </c>
      <c r="I56" s="126"/>
      <c r="J56" s="118">
        <v>120</v>
      </c>
      <c r="K56" s="90">
        <v>8</v>
      </c>
      <c r="L56" s="88">
        <v>6</v>
      </c>
      <c r="M56" s="88"/>
      <c r="N56" s="88">
        <v>2</v>
      </c>
      <c r="O56" s="88">
        <v>3</v>
      </c>
      <c r="P56" s="88">
        <v>254</v>
      </c>
      <c r="Q56" s="88"/>
    </row>
    <row r="57" spans="1:17" s="24" customFormat="1" ht="30" customHeight="1" x14ac:dyDescent="0.3">
      <c r="A57" s="16">
        <v>55</v>
      </c>
      <c r="B57" s="15">
        <v>2006</v>
      </c>
      <c r="C57" s="17" t="s">
        <v>557</v>
      </c>
      <c r="D57" s="15" t="s">
        <v>242</v>
      </c>
      <c r="E57" s="28" t="s">
        <v>253</v>
      </c>
      <c r="F57" s="15" t="s">
        <v>254</v>
      </c>
      <c r="G57" s="15" t="s">
        <v>255</v>
      </c>
      <c r="H57" s="17" t="s">
        <v>256</v>
      </c>
      <c r="I57" s="126"/>
      <c r="J57" s="118">
        <v>180</v>
      </c>
      <c r="K57" s="90">
        <v>5</v>
      </c>
      <c r="L57" s="88">
        <v>5</v>
      </c>
      <c r="M57" s="88"/>
      <c r="N57" s="88">
        <v>3</v>
      </c>
      <c r="O57" s="88">
        <v>1</v>
      </c>
      <c r="P57" s="88">
        <v>119</v>
      </c>
      <c r="Q57" s="88"/>
    </row>
    <row r="58" spans="1:17" s="24" customFormat="1" ht="30" customHeight="1" x14ac:dyDescent="0.3">
      <c r="A58" s="16">
        <v>56</v>
      </c>
      <c r="B58" s="15">
        <v>2007</v>
      </c>
      <c r="C58" s="17" t="s">
        <v>538</v>
      </c>
      <c r="D58" s="15" t="s">
        <v>110</v>
      </c>
      <c r="E58" s="28" t="s">
        <v>127</v>
      </c>
      <c r="F58" s="15" t="s">
        <v>128</v>
      </c>
      <c r="G58" s="15" t="s">
        <v>125</v>
      </c>
      <c r="H58" s="17" t="s">
        <v>129</v>
      </c>
      <c r="I58" s="126"/>
      <c r="J58" s="118">
        <v>180</v>
      </c>
      <c r="K58" s="89">
        <v>1</v>
      </c>
      <c r="L58" s="88">
        <v>10</v>
      </c>
      <c r="M58" s="88">
        <v>7</v>
      </c>
      <c r="N58" s="88">
        <v>4</v>
      </c>
      <c r="O58" s="88">
        <v>1</v>
      </c>
      <c r="P58" s="88"/>
      <c r="Q58" s="88"/>
    </row>
    <row r="59" spans="1:17" s="24" customFormat="1" ht="30" customHeight="1" x14ac:dyDescent="0.3">
      <c r="A59" s="16">
        <v>57</v>
      </c>
      <c r="B59" s="15">
        <v>2007</v>
      </c>
      <c r="C59" s="17" t="s">
        <v>539</v>
      </c>
      <c r="D59" s="15" t="s">
        <v>110</v>
      </c>
      <c r="E59" s="28" t="s">
        <v>123</v>
      </c>
      <c r="F59" s="15" t="s">
        <v>124</v>
      </c>
      <c r="G59" s="15" t="s">
        <v>125</v>
      </c>
      <c r="H59" s="17" t="s">
        <v>126</v>
      </c>
      <c r="I59" s="126"/>
      <c r="J59" s="118">
        <f>590+130</f>
        <v>720</v>
      </c>
      <c r="K59" s="89">
        <f>9</f>
        <v>9</v>
      </c>
      <c r="L59" s="88">
        <f>19+8</f>
        <v>27</v>
      </c>
      <c r="M59" s="88">
        <f>5+6+5</f>
        <v>16</v>
      </c>
      <c r="N59" s="88">
        <f>8+2</f>
        <v>10</v>
      </c>
      <c r="O59" s="88">
        <f>7</f>
        <v>7</v>
      </c>
      <c r="P59" s="88">
        <f>414</f>
        <v>414</v>
      </c>
      <c r="Q59" s="88">
        <v>192</v>
      </c>
    </row>
    <row r="60" spans="1:17" s="24" customFormat="1" ht="30" customHeight="1" x14ac:dyDescent="0.3">
      <c r="A60" s="16">
        <v>58</v>
      </c>
      <c r="B60" s="15">
        <v>2009</v>
      </c>
      <c r="C60" s="17" t="s">
        <v>556</v>
      </c>
      <c r="D60" s="15" t="s">
        <v>146</v>
      </c>
      <c r="E60" s="28" t="s">
        <v>204</v>
      </c>
      <c r="F60" s="15" t="s">
        <v>205</v>
      </c>
      <c r="G60" s="15" t="s">
        <v>206</v>
      </c>
      <c r="H60" s="17" t="s">
        <v>207</v>
      </c>
      <c r="I60" s="126"/>
      <c r="J60" s="117">
        <v>255</v>
      </c>
      <c r="K60" s="87">
        <v>5</v>
      </c>
      <c r="L60" s="86">
        <v>8</v>
      </c>
      <c r="M60" s="86"/>
      <c r="N60" s="86">
        <v>6</v>
      </c>
      <c r="O60" s="86">
        <v>4</v>
      </c>
      <c r="P60" s="86">
        <v>56</v>
      </c>
      <c r="Q60" s="86"/>
    </row>
    <row r="61" spans="1:17" s="24" customFormat="1" ht="30" customHeight="1" x14ac:dyDescent="0.3">
      <c r="A61" s="16">
        <v>59</v>
      </c>
      <c r="B61" s="15">
        <v>2011</v>
      </c>
      <c r="C61" s="17" t="s">
        <v>421</v>
      </c>
      <c r="D61" s="15" t="s">
        <v>130</v>
      </c>
      <c r="E61" s="28" t="s">
        <v>131</v>
      </c>
      <c r="F61" s="15" t="s">
        <v>132</v>
      </c>
      <c r="G61" s="15" t="s">
        <v>133</v>
      </c>
      <c r="H61" s="17" t="s">
        <v>134</v>
      </c>
      <c r="I61" s="126"/>
      <c r="J61" s="117">
        <v>640</v>
      </c>
      <c r="K61" s="87">
        <v>8</v>
      </c>
      <c r="L61" s="86">
        <v>7</v>
      </c>
      <c r="M61" s="86">
        <v>5</v>
      </c>
      <c r="N61" s="86">
        <v>6</v>
      </c>
      <c r="O61" s="86">
        <v>1</v>
      </c>
      <c r="P61" s="86">
        <v>269</v>
      </c>
      <c r="Q61" s="86">
        <v>472</v>
      </c>
    </row>
    <row r="62" spans="1:17" s="24" customFormat="1" ht="30" customHeight="1" x14ac:dyDescent="0.3">
      <c r="A62" s="16">
        <v>60</v>
      </c>
      <c r="B62" s="15">
        <v>2011</v>
      </c>
      <c r="C62" s="17" t="s">
        <v>422</v>
      </c>
      <c r="D62" s="15" t="s">
        <v>146</v>
      </c>
      <c r="E62" s="28" t="s">
        <v>208</v>
      </c>
      <c r="F62" s="15" t="s">
        <v>209</v>
      </c>
      <c r="G62" s="15" t="s">
        <v>206</v>
      </c>
      <c r="H62" s="17" t="s">
        <v>210</v>
      </c>
      <c r="I62" s="126"/>
      <c r="J62" s="117">
        <v>620</v>
      </c>
      <c r="K62" s="87">
        <v>9</v>
      </c>
      <c r="L62" s="86">
        <v>12</v>
      </c>
      <c r="M62" s="86"/>
      <c r="N62" s="86">
        <v>5</v>
      </c>
      <c r="O62" s="86"/>
      <c r="P62" s="86">
        <v>357</v>
      </c>
      <c r="Q62" s="86"/>
    </row>
    <row r="63" spans="1:17" s="24" customFormat="1" ht="30" customHeight="1" x14ac:dyDescent="0.3">
      <c r="A63" s="16">
        <v>61</v>
      </c>
      <c r="B63" s="15">
        <v>2012</v>
      </c>
      <c r="C63" s="17" t="s">
        <v>423</v>
      </c>
      <c r="D63" s="15" t="s">
        <v>135</v>
      </c>
      <c r="E63" s="28" t="s">
        <v>136</v>
      </c>
      <c r="F63" s="15" t="s">
        <v>137</v>
      </c>
      <c r="G63" s="15" t="s">
        <v>138</v>
      </c>
      <c r="H63" s="17" t="s">
        <v>139</v>
      </c>
      <c r="I63" s="126"/>
      <c r="J63" s="117">
        <v>785</v>
      </c>
      <c r="K63" s="87">
        <v>26</v>
      </c>
      <c r="L63" s="86">
        <v>18</v>
      </c>
      <c r="M63" s="86">
        <v>15</v>
      </c>
      <c r="N63" s="86">
        <v>1</v>
      </c>
      <c r="O63" s="86"/>
      <c r="P63" s="86">
        <v>5648</v>
      </c>
      <c r="Q63" s="86">
        <v>1049</v>
      </c>
    </row>
    <row r="64" spans="1:17" s="24" customFormat="1" ht="30" customHeight="1" x14ac:dyDescent="0.3">
      <c r="A64" s="16">
        <v>62</v>
      </c>
      <c r="B64" s="15">
        <v>2012</v>
      </c>
      <c r="C64" s="17" t="s">
        <v>424</v>
      </c>
      <c r="D64" s="15" t="s">
        <v>135</v>
      </c>
      <c r="E64" s="28" t="s">
        <v>140</v>
      </c>
      <c r="F64" s="15" t="s">
        <v>141</v>
      </c>
      <c r="G64" s="15" t="s">
        <v>138</v>
      </c>
      <c r="H64" s="17" t="s">
        <v>142</v>
      </c>
      <c r="I64" s="126"/>
      <c r="J64" s="117">
        <v>750</v>
      </c>
      <c r="K64" s="87">
        <v>29</v>
      </c>
      <c r="L64" s="86"/>
      <c r="M64" s="86">
        <v>13</v>
      </c>
      <c r="N64" s="86">
        <v>5</v>
      </c>
      <c r="O64" s="86">
        <v>2</v>
      </c>
      <c r="P64" s="86">
        <v>6502</v>
      </c>
      <c r="Q64" s="86">
        <v>1214</v>
      </c>
    </row>
    <row r="65" spans="1:17" s="24" customFormat="1" ht="30" customHeight="1" x14ac:dyDescent="0.3">
      <c r="A65" s="16">
        <v>63</v>
      </c>
      <c r="B65" s="15">
        <v>2012</v>
      </c>
      <c r="C65" s="17" t="s">
        <v>561</v>
      </c>
      <c r="D65" s="15" t="s">
        <v>146</v>
      </c>
      <c r="E65" s="28" t="s">
        <v>211</v>
      </c>
      <c r="F65" s="15" t="s">
        <v>212</v>
      </c>
      <c r="G65" s="15" t="s">
        <v>149</v>
      </c>
      <c r="H65" s="17" t="s">
        <v>213</v>
      </c>
      <c r="I65" s="126"/>
      <c r="J65" s="117">
        <v>625</v>
      </c>
      <c r="K65" s="87">
        <v>14</v>
      </c>
      <c r="L65" s="86">
        <v>17</v>
      </c>
      <c r="M65" s="86"/>
      <c r="N65" s="86">
        <v>6</v>
      </c>
      <c r="O65" s="86">
        <v>4</v>
      </c>
      <c r="P65" s="86">
        <v>785</v>
      </c>
      <c r="Q65" s="86"/>
    </row>
    <row r="66" spans="1:17" s="24" customFormat="1" ht="30" customHeight="1" x14ac:dyDescent="0.3">
      <c r="A66" s="16">
        <v>64</v>
      </c>
      <c r="B66" s="15">
        <v>2012</v>
      </c>
      <c r="C66" s="17" t="s">
        <v>425</v>
      </c>
      <c r="D66" s="15" t="s">
        <v>146</v>
      </c>
      <c r="E66" s="28" t="s">
        <v>214</v>
      </c>
      <c r="F66" s="15" t="s">
        <v>215</v>
      </c>
      <c r="G66" s="15" t="s">
        <v>88</v>
      </c>
      <c r="H66" s="17" t="s">
        <v>506</v>
      </c>
      <c r="I66" s="126"/>
      <c r="J66" s="117">
        <v>140</v>
      </c>
      <c r="K66" s="87">
        <v>5</v>
      </c>
      <c r="L66" s="86">
        <v>5</v>
      </c>
      <c r="M66" s="86"/>
      <c r="N66" s="86">
        <v>3</v>
      </c>
      <c r="O66" s="86"/>
      <c r="P66" s="86">
        <v>152</v>
      </c>
      <c r="Q66" s="86"/>
    </row>
    <row r="67" spans="1:17" s="24" customFormat="1" ht="30" customHeight="1" x14ac:dyDescent="0.3">
      <c r="A67" s="16">
        <v>65</v>
      </c>
      <c r="B67" s="15">
        <v>2012</v>
      </c>
      <c r="C67" s="17" t="s">
        <v>426</v>
      </c>
      <c r="D67" s="15" t="s">
        <v>146</v>
      </c>
      <c r="E67" s="28" t="s">
        <v>216</v>
      </c>
      <c r="F67" s="15" t="s">
        <v>217</v>
      </c>
      <c r="G67" s="15" t="s">
        <v>186</v>
      </c>
      <c r="H67" s="17" t="s">
        <v>218</v>
      </c>
      <c r="I67" s="126"/>
      <c r="J67" s="117">
        <v>200</v>
      </c>
      <c r="K67" s="87">
        <v>7</v>
      </c>
      <c r="L67" s="86">
        <v>6</v>
      </c>
      <c r="M67" s="86"/>
      <c r="N67" s="86">
        <v>3</v>
      </c>
      <c r="O67" s="86"/>
      <c r="P67" s="86">
        <v>220</v>
      </c>
      <c r="Q67" s="86"/>
    </row>
    <row r="68" spans="1:17" s="24" customFormat="1" ht="30" customHeight="1" x14ac:dyDescent="0.3">
      <c r="A68" s="16">
        <v>66</v>
      </c>
      <c r="B68" s="15">
        <v>2012</v>
      </c>
      <c r="C68" s="17" t="s">
        <v>427</v>
      </c>
      <c r="D68" s="15" t="s">
        <v>219</v>
      </c>
      <c r="E68" s="28" t="s">
        <v>220</v>
      </c>
      <c r="F68" s="15" t="s">
        <v>505</v>
      </c>
      <c r="G68" s="15" t="s">
        <v>221</v>
      </c>
      <c r="H68" s="17" t="s">
        <v>222</v>
      </c>
      <c r="I68" s="126"/>
      <c r="J68" s="117">
        <v>100</v>
      </c>
      <c r="K68" s="83"/>
      <c r="L68" s="86">
        <v>8</v>
      </c>
      <c r="M68" s="86">
        <v>5</v>
      </c>
      <c r="N68" s="86">
        <v>1</v>
      </c>
      <c r="O68" s="86"/>
      <c r="P68" s="86">
        <v>180</v>
      </c>
      <c r="Q68" s="86"/>
    </row>
    <row r="69" spans="1:17" s="24" customFormat="1" ht="30" customHeight="1" x14ac:dyDescent="0.3">
      <c r="A69" s="16">
        <v>67</v>
      </c>
      <c r="B69" s="15">
        <v>2012</v>
      </c>
      <c r="C69" s="17" t="s">
        <v>436</v>
      </c>
      <c r="D69" s="15" t="s">
        <v>242</v>
      </c>
      <c r="E69" s="28" t="s">
        <v>257</v>
      </c>
      <c r="F69" s="15" t="s">
        <v>258</v>
      </c>
      <c r="G69" s="15" t="s">
        <v>234</v>
      </c>
      <c r="H69" s="17" t="s">
        <v>259</v>
      </c>
      <c r="I69" s="130"/>
      <c r="J69" s="117">
        <v>300</v>
      </c>
      <c r="K69" s="87">
        <v>10</v>
      </c>
      <c r="L69" s="86">
        <v>10</v>
      </c>
      <c r="M69" s="86"/>
      <c r="N69" s="86">
        <v>6</v>
      </c>
      <c r="O69" s="86"/>
      <c r="P69" s="86">
        <v>145</v>
      </c>
      <c r="Q69" s="86"/>
    </row>
    <row r="70" spans="1:17" s="24" customFormat="1" ht="30" customHeight="1" x14ac:dyDescent="0.3">
      <c r="A70" s="16">
        <v>68</v>
      </c>
      <c r="B70" s="15">
        <v>2012</v>
      </c>
      <c r="C70" s="17" t="s">
        <v>428</v>
      </c>
      <c r="D70" s="15" t="s">
        <v>242</v>
      </c>
      <c r="E70" s="28" t="s">
        <v>507</v>
      </c>
      <c r="F70" s="15" t="s">
        <v>260</v>
      </c>
      <c r="G70" s="15" t="s">
        <v>234</v>
      </c>
      <c r="H70" s="17" t="s">
        <v>261</v>
      </c>
      <c r="I70" s="126"/>
      <c r="J70" s="117">
        <v>375</v>
      </c>
      <c r="K70" s="87">
        <v>9</v>
      </c>
      <c r="L70" s="86">
        <v>10</v>
      </c>
      <c r="M70" s="86"/>
      <c r="N70" s="86">
        <v>8</v>
      </c>
      <c r="O70" s="86">
        <v>1</v>
      </c>
      <c r="P70" s="86"/>
      <c r="Q70" s="86"/>
    </row>
    <row r="71" spans="1:17" s="24" customFormat="1" ht="30" customHeight="1" x14ac:dyDescent="0.3">
      <c r="A71" s="16">
        <v>69</v>
      </c>
      <c r="B71" s="15">
        <v>2012</v>
      </c>
      <c r="C71" s="17" t="s">
        <v>429</v>
      </c>
      <c r="D71" s="15" t="s">
        <v>263</v>
      </c>
      <c r="E71" s="28" t="s">
        <v>264</v>
      </c>
      <c r="F71" s="15" t="s">
        <v>265</v>
      </c>
      <c r="G71" s="15" t="s">
        <v>245</v>
      </c>
      <c r="H71" s="17" t="s">
        <v>266</v>
      </c>
      <c r="I71" s="126"/>
      <c r="J71" s="117">
        <v>180</v>
      </c>
      <c r="K71" s="83"/>
      <c r="L71" s="86"/>
      <c r="M71" s="86"/>
      <c r="N71" s="86"/>
      <c r="O71" s="86"/>
      <c r="P71" s="86"/>
      <c r="Q71" s="86"/>
    </row>
    <row r="72" spans="1:17" s="24" customFormat="1" ht="30" customHeight="1" x14ac:dyDescent="0.3">
      <c r="A72" s="16">
        <v>70</v>
      </c>
      <c r="B72" s="15">
        <v>2012</v>
      </c>
      <c r="C72" s="17" t="s">
        <v>430</v>
      </c>
      <c r="D72" s="15" t="s">
        <v>263</v>
      </c>
      <c r="E72" s="28" t="s">
        <v>267</v>
      </c>
      <c r="F72" s="15" t="s">
        <v>268</v>
      </c>
      <c r="G72" s="15" t="s">
        <v>236</v>
      </c>
      <c r="H72" s="17" t="s">
        <v>269</v>
      </c>
      <c r="I72" s="126"/>
      <c r="J72" s="117">
        <v>120</v>
      </c>
      <c r="K72" s="83"/>
      <c r="L72" s="86"/>
      <c r="M72" s="86"/>
      <c r="N72" s="86">
        <v>1</v>
      </c>
      <c r="O72" s="86"/>
      <c r="P72" s="86"/>
      <c r="Q72" s="86"/>
    </row>
    <row r="73" spans="1:17" s="24" customFormat="1" ht="30" customHeight="1" x14ac:dyDescent="0.3">
      <c r="A73" s="16">
        <v>71</v>
      </c>
      <c r="B73" s="15">
        <v>2012</v>
      </c>
      <c r="C73" s="17" t="s">
        <v>431</v>
      </c>
      <c r="D73" s="15" t="s">
        <v>263</v>
      </c>
      <c r="E73" s="28" t="s">
        <v>270</v>
      </c>
      <c r="F73" s="15" t="s">
        <v>271</v>
      </c>
      <c r="G73" s="15" t="s">
        <v>236</v>
      </c>
      <c r="H73" s="17" t="s">
        <v>272</v>
      </c>
      <c r="I73" s="126"/>
      <c r="J73" s="117">
        <v>160</v>
      </c>
      <c r="K73" s="87">
        <v>8</v>
      </c>
      <c r="L73" s="86">
        <v>16</v>
      </c>
      <c r="M73" s="86"/>
      <c r="N73" s="86">
        <v>4</v>
      </c>
      <c r="O73" s="86"/>
      <c r="P73" s="86">
        <v>2</v>
      </c>
      <c r="Q73" s="86"/>
    </row>
    <row r="74" spans="1:17" s="24" customFormat="1" ht="30" customHeight="1" x14ac:dyDescent="0.3">
      <c r="A74" s="16">
        <v>72</v>
      </c>
      <c r="B74" s="15">
        <v>2012</v>
      </c>
      <c r="C74" s="17" t="s">
        <v>432</v>
      </c>
      <c r="D74" s="15" t="s">
        <v>242</v>
      </c>
      <c r="E74" s="28" t="s">
        <v>273</v>
      </c>
      <c r="F74" s="15" t="s">
        <v>274</v>
      </c>
      <c r="G74" s="15" t="s">
        <v>245</v>
      </c>
      <c r="H74" s="17" t="s">
        <v>275</v>
      </c>
      <c r="I74" s="126"/>
      <c r="J74" s="117">
        <v>145</v>
      </c>
      <c r="K74" s="87">
        <v>4</v>
      </c>
      <c r="L74" s="86">
        <v>14</v>
      </c>
      <c r="M74" s="86"/>
      <c r="N74" s="86">
        <v>3</v>
      </c>
      <c r="O74" s="86"/>
      <c r="P74" s="86">
        <v>1</v>
      </c>
      <c r="Q74" s="86"/>
    </row>
    <row r="75" spans="1:17" s="24" customFormat="1" ht="30" customHeight="1" x14ac:dyDescent="0.3">
      <c r="A75" s="16">
        <v>73</v>
      </c>
      <c r="B75" s="15">
        <v>2012</v>
      </c>
      <c r="C75" s="17" t="s">
        <v>433</v>
      </c>
      <c r="D75" s="15" t="s">
        <v>242</v>
      </c>
      <c r="E75" s="28" t="s">
        <v>276</v>
      </c>
      <c r="F75" s="15" t="s">
        <v>277</v>
      </c>
      <c r="G75" s="15" t="s">
        <v>223</v>
      </c>
      <c r="H75" s="17" t="s">
        <v>278</v>
      </c>
      <c r="I75" s="126"/>
      <c r="J75" s="117">
        <v>430</v>
      </c>
      <c r="K75" s="87">
        <v>10</v>
      </c>
      <c r="L75" s="86">
        <v>14</v>
      </c>
      <c r="M75" s="86"/>
      <c r="N75" s="86"/>
      <c r="O75" s="86"/>
      <c r="P75" s="86">
        <v>4</v>
      </c>
      <c r="Q75" s="86">
        <v>494</v>
      </c>
    </row>
    <row r="76" spans="1:17" s="24" customFormat="1" ht="30" customHeight="1" x14ac:dyDescent="0.3">
      <c r="A76" s="16">
        <v>74</v>
      </c>
      <c r="B76" s="15">
        <v>2012</v>
      </c>
      <c r="C76" s="17" t="s">
        <v>434</v>
      </c>
      <c r="D76" s="15" t="s">
        <v>242</v>
      </c>
      <c r="E76" s="28" t="s">
        <v>279</v>
      </c>
      <c r="F76" s="15" t="s">
        <v>280</v>
      </c>
      <c r="G76" s="15" t="s">
        <v>230</v>
      </c>
      <c r="H76" s="17" t="s">
        <v>281</v>
      </c>
      <c r="I76" s="126"/>
      <c r="J76" s="117">
        <v>145</v>
      </c>
      <c r="K76" s="87">
        <v>5</v>
      </c>
      <c r="L76" s="86">
        <v>12</v>
      </c>
      <c r="M76" s="86"/>
      <c r="N76" s="86">
        <v>6</v>
      </c>
      <c r="O76" s="86"/>
      <c r="P76" s="86">
        <v>2</v>
      </c>
      <c r="Q76" s="86"/>
    </row>
    <row r="77" spans="1:17" s="24" customFormat="1" ht="30" customHeight="1" x14ac:dyDescent="0.3">
      <c r="A77" s="16">
        <v>75</v>
      </c>
      <c r="B77" s="15">
        <v>2012</v>
      </c>
      <c r="C77" s="17" t="s">
        <v>435</v>
      </c>
      <c r="D77" s="15" t="s">
        <v>242</v>
      </c>
      <c r="E77" s="28" t="s">
        <v>282</v>
      </c>
      <c r="F77" s="15" t="s">
        <v>283</v>
      </c>
      <c r="G77" s="15" t="s">
        <v>226</v>
      </c>
      <c r="H77" s="17" t="s">
        <v>284</v>
      </c>
      <c r="I77" s="130"/>
      <c r="J77" s="117">
        <v>100</v>
      </c>
      <c r="K77" s="87">
        <v>6</v>
      </c>
      <c r="L77" s="86">
        <v>8</v>
      </c>
      <c r="M77" s="86"/>
      <c r="N77" s="86">
        <v>1</v>
      </c>
      <c r="O77" s="86"/>
      <c r="P77" s="86">
        <v>3</v>
      </c>
      <c r="Q77" s="86"/>
    </row>
    <row r="78" spans="1:17" s="24" customFormat="1" ht="30" customHeight="1" x14ac:dyDescent="0.3">
      <c r="A78" s="16">
        <v>76</v>
      </c>
      <c r="B78" s="15">
        <v>2013</v>
      </c>
      <c r="C78" s="17" t="s">
        <v>437</v>
      </c>
      <c r="D78" s="15" t="s">
        <v>135</v>
      </c>
      <c r="E78" s="28" t="s">
        <v>143</v>
      </c>
      <c r="F78" s="15" t="s">
        <v>144</v>
      </c>
      <c r="G78" s="15" t="s">
        <v>138</v>
      </c>
      <c r="H78" s="17" t="s">
        <v>145</v>
      </c>
      <c r="I78" s="126"/>
      <c r="J78" s="117">
        <v>1340</v>
      </c>
      <c r="K78" s="87">
        <v>37</v>
      </c>
      <c r="L78" s="86">
        <v>103</v>
      </c>
      <c r="M78" s="86">
        <v>26</v>
      </c>
      <c r="N78" s="86">
        <v>2</v>
      </c>
      <c r="O78" s="86"/>
      <c r="P78" s="86">
        <v>1767</v>
      </c>
      <c r="Q78" s="86">
        <v>1204</v>
      </c>
    </row>
    <row r="79" spans="1:17" s="24" customFormat="1" ht="30" customHeight="1" x14ac:dyDescent="0.3">
      <c r="A79" s="16">
        <v>77</v>
      </c>
      <c r="B79" s="15">
        <v>2013</v>
      </c>
      <c r="C79" s="17" t="s">
        <v>440</v>
      </c>
      <c r="D79" s="15" t="s">
        <v>219</v>
      </c>
      <c r="E79" s="28" t="s">
        <v>224</v>
      </c>
      <c r="F79" s="15" t="s">
        <v>225</v>
      </c>
      <c r="G79" s="15" t="s">
        <v>226</v>
      </c>
      <c r="H79" s="17" t="s">
        <v>227</v>
      </c>
      <c r="I79" s="126"/>
      <c r="J79" s="117">
        <v>300</v>
      </c>
      <c r="K79" s="83"/>
      <c r="L79" s="86">
        <v>10</v>
      </c>
      <c r="M79" s="86">
        <v>5</v>
      </c>
      <c r="N79" s="86">
        <v>2</v>
      </c>
      <c r="O79" s="86"/>
      <c r="P79" s="86">
        <v>152</v>
      </c>
      <c r="Q79" s="86"/>
    </row>
    <row r="80" spans="1:17" s="24" customFormat="1" ht="30" customHeight="1" x14ac:dyDescent="0.3">
      <c r="A80" s="16">
        <v>78</v>
      </c>
      <c r="B80" s="15">
        <v>2013</v>
      </c>
      <c r="C80" s="17" t="s">
        <v>438</v>
      </c>
      <c r="D80" s="15" t="s">
        <v>219</v>
      </c>
      <c r="E80" s="28" t="s">
        <v>228</v>
      </c>
      <c r="F80" s="15" t="s">
        <v>229</v>
      </c>
      <c r="G80" s="15" t="s">
        <v>230</v>
      </c>
      <c r="H80" s="17" t="s">
        <v>231</v>
      </c>
      <c r="I80" s="126"/>
      <c r="J80" s="117">
        <v>290</v>
      </c>
      <c r="K80" s="87">
        <v>8</v>
      </c>
      <c r="L80" s="86">
        <v>8</v>
      </c>
      <c r="M80" s="86"/>
      <c r="N80" s="86">
        <v>6</v>
      </c>
      <c r="O80" s="86"/>
      <c r="P80" s="86">
        <v>2</v>
      </c>
      <c r="Q80" s="86"/>
    </row>
    <row r="81" spans="1:17" s="24" customFormat="1" ht="30" customHeight="1" x14ac:dyDescent="0.3">
      <c r="A81" s="16">
        <v>79</v>
      </c>
      <c r="B81" s="15">
        <v>2013</v>
      </c>
      <c r="C81" s="17" t="s">
        <v>439</v>
      </c>
      <c r="D81" s="15" t="s">
        <v>219</v>
      </c>
      <c r="E81" s="28" t="s">
        <v>232</v>
      </c>
      <c r="F81" s="15" t="s">
        <v>233</v>
      </c>
      <c r="G81" s="15" t="s">
        <v>234</v>
      </c>
      <c r="H81" s="17" t="s">
        <v>235</v>
      </c>
      <c r="I81" s="126"/>
      <c r="J81" s="117">
        <v>155</v>
      </c>
      <c r="K81" s="87">
        <v>4</v>
      </c>
      <c r="L81" s="86">
        <v>12</v>
      </c>
      <c r="M81" s="86"/>
      <c r="N81" s="86">
        <v>2</v>
      </c>
      <c r="O81" s="86"/>
      <c r="P81" s="86">
        <v>3</v>
      </c>
      <c r="Q81" s="86"/>
    </row>
    <row r="82" spans="1:17" s="24" customFormat="1" ht="30" customHeight="1" x14ac:dyDescent="0.3">
      <c r="A82" s="16">
        <v>80</v>
      </c>
      <c r="B82" s="15">
        <v>2013</v>
      </c>
      <c r="C82" s="17" t="s">
        <v>442</v>
      </c>
      <c r="D82" s="15" t="s">
        <v>242</v>
      </c>
      <c r="E82" s="28" t="s">
        <v>285</v>
      </c>
      <c r="F82" s="15" t="s">
        <v>286</v>
      </c>
      <c r="G82" s="15" t="s">
        <v>287</v>
      </c>
      <c r="H82" s="17" t="s">
        <v>288</v>
      </c>
      <c r="I82" s="126"/>
      <c r="J82" s="117">
        <v>540</v>
      </c>
      <c r="K82" s="87">
        <v>20</v>
      </c>
      <c r="L82" s="86">
        <v>36</v>
      </c>
      <c r="M82" s="86"/>
      <c r="N82" s="86">
        <v>6</v>
      </c>
      <c r="O82" s="86"/>
      <c r="P82" s="86"/>
      <c r="Q82" s="86"/>
    </row>
    <row r="83" spans="1:17" s="24" customFormat="1" ht="30" customHeight="1" x14ac:dyDescent="0.3">
      <c r="A83" s="16">
        <v>81</v>
      </c>
      <c r="B83" s="15">
        <v>2013</v>
      </c>
      <c r="C83" s="17" t="s">
        <v>443</v>
      </c>
      <c r="D83" s="15" t="s">
        <v>242</v>
      </c>
      <c r="E83" s="28" t="s">
        <v>289</v>
      </c>
      <c r="F83" s="15" t="s">
        <v>290</v>
      </c>
      <c r="G83" s="15" t="s">
        <v>230</v>
      </c>
      <c r="H83" s="17" t="s">
        <v>291</v>
      </c>
      <c r="I83" s="126"/>
      <c r="J83" s="117">
        <v>90</v>
      </c>
      <c r="K83" s="87">
        <v>5</v>
      </c>
      <c r="L83" s="86">
        <v>8</v>
      </c>
      <c r="M83" s="86"/>
      <c r="N83" s="86">
        <v>2</v>
      </c>
      <c r="O83" s="86"/>
      <c r="P83" s="86"/>
      <c r="Q83" s="86"/>
    </row>
    <row r="84" spans="1:17" s="24" customFormat="1" ht="30" customHeight="1" x14ac:dyDescent="0.3">
      <c r="A84" s="16">
        <v>82</v>
      </c>
      <c r="B84" s="15">
        <v>2013</v>
      </c>
      <c r="C84" s="17" t="s">
        <v>444</v>
      </c>
      <c r="D84" s="15" t="s">
        <v>242</v>
      </c>
      <c r="E84" s="28" t="s">
        <v>292</v>
      </c>
      <c r="F84" s="15" t="s">
        <v>293</v>
      </c>
      <c r="G84" s="15" t="s">
        <v>223</v>
      </c>
      <c r="H84" s="17" t="s">
        <v>294</v>
      </c>
      <c r="I84" s="126"/>
      <c r="J84" s="117">
        <v>100</v>
      </c>
      <c r="K84" s="87">
        <v>2</v>
      </c>
      <c r="L84" s="86">
        <v>8</v>
      </c>
      <c r="M84" s="86"/>
      <c r="N84" s="86"/>
      <c r="O84" s="86"/>
      <c r="P84" s="86">
        <v>2</v>
      </c>
      <c r="Q84" s="86"/>
    </row>
    <row r="85" spans="1:17" s="24" customFormat="1" ht="30" customHeight="1" x14ac:dyDescent="0.3">
      <c r="A85" s="16">
        <f>A84+1</f>
        <v>83</v>
      </c>
      <c r="B85" s="15">
        <v>2013</v>
      </c>
      <c r="C85" s="17" t="s">
        <v>445</v>
      </c>
      <c r="D85" s="15" t="s">
        <v>242</v>
      </c>
      <c r="E85" s="28" t="s">
        <v>295</v>
      </c>
      <c r="F85" s="15" t="s">
        <v>296</v>
      </c>
      <c r="G85" s="15" t="s">
        <v>226</v>
      </c>
      <c r="H85" s="17" t="s">
        <v>297</v>
      </c>
      <c r="I85" s="126"/>
      <c r="J85" s="117">
        <v>310</v>
      </c>
      <c r="K85" s="87">
        <v>6</v>
      </c>
      <c r="L85" s="86">
        <v>22</v>
      </c>
      <c r="M85" s="86"/>
      <c r="N85" s="86">
        <v>7</v>
      </c>
      <c r="O85" s="86"/>
      <c r="P85" s="86">
        <v>1</v>
      </c>
      <c r="Q85" s="86"/>
    </row>
    <row r="86" spans="1:17" s="24" customFormat="1" ht="30" customHeight="1" x14ac:dyDescent="0.3">
      <c r="A86" s="16">
        <f t="shared" ref="A86:A134" si="0">A85+1</f>
        <v>84</v>
      </c>
      <c r="B86" s="15">
        <v>2013</v>
      </c>
      <c r="C86" s="17" t="s">
        <v>446</v>
      </c>
      <c r="D86" s="15" t="s">
        <v>242</v>
      </c>
      <c r="E86" s="28" t="s">
        <v>298</v>
      </c>
      <c r="F86" s="15" t="s">
        <v>299</v>
      </c>
      <c r="G86" s="15" t="s">
        <v>234</v>
      </c>
      <c r="H86" s="17" t="s">
        <v>300</v>
      </c>
      <c r="I86" s="126"/>
      <c r="J86" s="117">
        <v>170</v>
      </c>
      <c r="K86" s="87">
        <v>4</v>
      </c>
      <c r="L86" s="86">
        <v>3</v>
      </c>
      <c r="M86" s="86">
        <v>2</v>
      </c>
      <c r="N86" s="86">
        <v>2</v>
      </c>
      <c r="O86" s="86"/>
      <c r="P86" s="86"/>
      <c r="Q86" s="86"/>
    </row>
    <row r="87" spans="1:17" s="24" customFormat="1" ht="30" customHeight="1" x14ac:dyDescent="0.3">
      <c r="A87" s="16">
        <f t="shared" si="0"/>
        <v>85</v>
      </c>
      <c r="B87" s="15">
        <v>2013</v>
      </c>
      <c r="C87" s="17" t="s">
        <v>558</v>
      </c>
      <c r="D87" s="15" t="s">
        <v>242</v>
      </c>
      <c r="E87" s="28" t="s">
        <v>301</v>
      </c>
      <c r="F87" s="15" t="s">
        <v>302</v>
      </c>
      <c r="G87" s="15" t="s">
        <v>226</v>
      </c>
      <c r="H87" s="17" t="s">
        <v>303</v>
      </c>
      <c r="I87" s="126"/>
      <c r="J87" s="117">
        <v>115</v>
      </c>
      <c r="K87" s="87">
        <v>4</v>
      </c>
      <c r="L87" s="86">
        <v>10</v>
      </c>
      <c r="M87" s="86"/>
      <c r="N87" s="86">
        <v>2</v>
      </c>
      <c r="O87" s="86"/>
      <c r="P87" s="86">
        <v>2</v>
      </c>
      <c r="Q87" s="86"/>
    </row>
    <row r="88" spans="1:17" s="24" customFormat="1" ht="30" customHeight="1" x14ac:dyDescent="0.3">
      <c r="A88" s="16">
        <f t="shared" si="0"/>
        <v>86</v>
      </c>
      <c r="B88" s="15">
        <v>2013</v>
      </c>
      <c r="C88" s="17" t="s">
        <v>447</v>
      </c>
      <c r="D88" s="15" t="s">
        <v>242</v>
      </c>
      <c r="E88" s="28" t="s">
        <v>504</v>
      </c>
      <c r="F88" s="15" t="s">
        <v>304</v>
      </c>
      <c r="G88" s="15" t="s">
        <v>287</v>
      </c>
      <c r="H88" s="17" t="s">
        <v>305</v>
      </c>
      <c r="I88" s="126"/>
      <c r="J88" s="117">
        <v>130</v>
      </c>
      <c r="K88" s="83"/>
      <c r="L88" s="86"/>
      <c r="M88" s="86"/>
      <c r="N88" s="86">
        <v>2</v>
      </c>
      <c r="O88" s="86"/>
      <c r="P88" s="86"/>
      <c r="Q88" s="86"/>
    </row>
    <row r="89" spans="1:17" s="24" customFormat="1" ht="30" customHeight="1" x14ac:dyDescent="0.3">
      <c r="A89" s="16">
        <f t="shared" si="0"/>
        <v>87</v>
      </c>
      <c r="B89" s="15">
        <v>2013</v>
      </c>
      <c r="C89" s="17" t="s">
        <v>448</v>
      </c>
      <c r="D89" s="15" t="s">
        <v>242</v>
      </c>
      <c r="E89" s="28" t="s">
        <v>564</v>
      </c>
      <c r="F89" s="15" t="s">
        <v>306</v>
      </c>
      <c r="G89" s="15" t="s">
        <v>234</v>
      </c>
      <c r="H89" s="17" t="s">
        <v>307</v>
      </c>
      <c r="I89" s="126"/>
      <c r="J89" s="117">
        <v>185</v>
      </c>
      <c r="K89" s="87">
        <v>7</v>
      </c>
      <c r="L89" s="86">
        <v>32</v>
      </c>
      <c r="M89" s="86"/>
      <c r="N89" s="86">
        <v>1</v>
      </c>
      <c r="O89" s="86"/>
      <c r="P89" s="86">
        <v>3</v>
      </c>
      <c r="Q89" s="86"/>
    </row>
    <row r="90" spans="1:17" s="24" customFormat="1" ht="30" customHeight="1" x14ac:dyDescent="0.3">
      <c r="A90" s="16">
        <f t="shared" si="0"/>
        <v>88</v>
      </c>
      <c r="B90" s="15">
        <v>2013</v>
      </c>
      <c r="C90" s="17" t="s">
        <v>449</v>
      </c>
      <c r="D90" s="15" t="s">
        <v>242</v>
      </c>
      <c r="E90" s="28" t="s">
        <v>308</v>
      </c>
      <c r="F90" s="15" t="s">
        <v>309</v>
      </c>
      <c r="G90" s="15" t="s">
        <v>230</v>
      </c>
      <c r="H90" s="17" t="s">
        <v>310</v>
      </c>
      <c r="I90" s="130"/>
      <c r="J90" s="117">
        <v>180</v>
      </c>
      <c r="K90" s="87">
        <v>2</v>
      </c>
      <c r="L90" s="86">
        <v>8</v>
      </c>
      <c r="M90" s="86"/>
      <c r="N90" s="86">
        <v>5</v>
      </c>
      <c r="O90" s="86"/>
      <c r="P90" s="86">
        <v>1</v>
      </c>
      <c r="Q90" s="86"/>
    </row>
    <row r="91" spans="1:17" s="24" customFormat="1" ht="30" customHeight="1" x14ac:dyDescent="0.3">
      <c r="A91" s="16">
        <f t="shared" si="0"/>
        <v>89</v>
      </c>
      <c r="B91" s="15">
        <v>2013</v>
      </c>
      <c r="C91" s="17" t="s">
        <v>450</v>
      </c>
      <c r="D91" s="15" t="s">
        <v>263</v>
      </c>
      <c r="E91" s="28" t="s">
        <v>311</v>
      </c>
      <c r="F91" s="15" t="s">
        <v>508</v>
      </c>
      <c r="G91" s="15" t="s">
        <v>312</v>
      </c>
      <c r="H91" s="17" t="s">
        <v>313</v>
      </c>
      <c r="I91" s="126"/>
      <c r="J91" s="117">
        <v>60</v>
      </c>
      <c r="K91" s="87">
        <v>3</v>
      </c>
      <c r="L91" s="86">
        <v>4</v>
      </c>
      <c r="M91" s="86"/>
      <c r="N91" s="86"/>
      <c r="O91" s="86"/>
      <c r="P91" s="86">
        <v>2</v>
      </c>
      <c r="Q91" s="86"/>
    </row>
    <row r="92" spans="1:17" s="24" customFormat="1" ht="30" customHeight="1" x14ac:dyDescent="0.3">
      <c r="A92" s="16">
        <f t="shared" si="0"/>
        <v>90</v>
      </c>
      <c r="B92" s="15">
        <v>2013</v>
      </c>
      <c r="C92" s="17" t="s">
        <v>451</v>
      </c>
      <c r="D92" s="15" t="s">
        <v>242</v>
      </c>
      <c r="E92" s="28" t="s">
        <v>477</v>
      </c>
      <c r="F92" s="15" t="s">
        <v>314</v>
      </c>
      <c r="G92" s="15" t="s">
        <v>234</v>
      </c>
      <c r="H92" s="17" t="s">
        <v>315</v>
      </c>
      <c r="I92" s="126"/>
      <c r="J92" s="117">
        <v>220</v>
      </c>
      <c r="K92" s="87">
        <v>4</v>
      </c>
      <c r="L92" s="86">
        <v>10</v>
      </c>
      <c r="M92" s="86"/>
      <c r="N92" s="86">
        <v>4</v>
      </c>
      <c r="O92" s="86"/>
      <c r="P92" s="86">
        <v>3</v>
      </c>
      <c r="Q92" s="86"/>
    </row>
    <row r="93" spans="1:17" s="24" customFormat="1" ht="30" customHeight="1" x14ac:dyDescent="0.3">
      <c r="A93" s="16">
        <f t="shared" si="0"/>
        <v>91</v>
      </c>
      <c r="B93" s="15">
        <v>2013</v>
      </c>
      <c r="C93" s="17" t="s">
        <v>455</v>
      </c>
      <c r="D93" s="15" t="s">
        <v>242</v>
      </c>
      <c r="E93" s="28" t="s">
        <v>452</v>
      </c>
      <c r="F93" s="34" t="s">
        <v>453</v>
      </c>
      <c r="G93" s="15" t="s">
        <v>262</v>
      </c>
      <c r="H93" s="35" t="s">
        <v>454</v>
      </c>
      <c r="I93" s="130"/>
      <c r="J93" s="117">
        <v>380</v>
      </c>
      <c r="K93" s="87">
        <v>12</v>
      </c>
      <c r="L93" s="86">
        <v>32</v>
      </c>
      <c r="M93" s="86"/>
      <c r="N93" s="86">
        <v>4</v>
      </c>
      <c r="O93" s="86"/>
      <c r="P93" s="86">
        <v>8</v>
      </c>
      <c r="Q93" s="86"/>
    </row>
    <row r="94" spans="1:17" s="24" customFormat="1" ht="30" customHeight="1" x14ac:dyDescent="0.3">
      <c r="A94" s="16">
        <f t="shared" si="0"/>
        <v>92</v>
      </c>
      <c r="B94" s="15">
        <v>2013</v>
      </c>
      <c r="C94" s="17" t="s">
        <v>456</v>
      </c>
      <c r="D94" s="15" t="s">
        <v>242</v>
      </c>
      <c r="E94" s="28" t="s">
        <v>316</v>
      </c>
      <c r="F94" s="15" t="s">
        <v>317</v>
      </c>
      <c r="G94" s="15" t="s">
        <v>318</v>
      </c>
      <c r="H94" s="17" t="s">
        <v>319</v>
      </c>
      <c r="I94" s="130"/>
      <c r="J94" s="117">
        <v>205</v>
      </c>
      <c r="K94" s="87">
        <v>13</v>
      </c>
      <c r="L94" s="86">
        <v>12</v>
      </c>
      <c r="M94" s="86"/>
      <c r="N94" s="86">
        <v>3</v>
      </c>
      <c r="O94" s="86"/>
      <c r="P94" s="86">
        <v>1</v>
      </c>
      <c r="Q94" s="86"/>
    </row>
    <row r="95" spans="1:17" s="24" customFormat="1" ht="30" customHeight="1" x14ac:dyDescent="0.3">
      <c r="A95" s="16">
        <f t="shared" si="0"/>
        <v>93</v>
      </c>
      <c r="B95" s="15">
        <v>2013</v>
      </c>
      <c r="C95" s="17" t="s">
        <v>457</v>
      </c>
      <c r="D95" s="15" t="s">
        <v>242</v>
      </c>
      <c r="E95" s="28" t="s">
        <v>320</v>
      </c>
      <c r="F95" s="15" t="s">
        <v>494</v>
      </c>
      <c r="G95" s="15" t="s">
        <v>262</v>
      </c>
      <c r="H95" s="17" t="s">
        <v>321</v>
      </c>
      <c r="I95" s="130"/>
      <c r="J95" s="117">
        <v>545</v>
      </c>
      <c r="K95" s="87">
        <v>10</v>
      </c>
      <c r="L95" s="86">
        <v>34</v>
      </c>
      <c r="M95" s="86"/>
      <c r="N95" s="86">
        <v>8</v>
      </c>
      <c r="O95" s="86"/>
      <c r="P95" s="86">
        <v>6</v>
      </c>
      <c r="Q95" s="86"/>
    </row>
    <row r="96" spans="1:17" s="24" customFormat="1" ht="30" customHeight="1" x14ac:dyDescent="0.3">
      <c r="A96" s="16">
        <f t="shared" si="0"/>
        <v>94</v>
      </c>
      <c r="B96" s="15">
        <v>2013</v>
      </c>
      <c r="C96" s="17" t="s">
        <v>559</v>
      </c>
      <c r="D96" s="15" t="s">
        <v>242</v>
      </c>
      <c r="E96" s="28" t="s">
        <v>441</v>
      </c>
      <c r="F96" s="15" t="s">
        <v>322</v>
      </c>
      <c r="G96" s="15" t="s">
        <v>230</v>
      </c>
      <c r="H96" s="17" t="s">
        <v>323</v>
      </c>
      <c r="I96" s="126"/>
      <c r="J96" s="117">
        <v>715</v>
      </c>
      <c r="K96" s="87">
        <v>9</v>
      </c>
      <c r="L96" s="86">
        <v>18</v>
      </c>
      <c r="M96" s="86"/>
      <c r="N96" s="86">
        <v>8</v>
      </c>
      <c r="O96" s="86"/>
      <c r="P96" s="86">
        <v>7</v>
      </c>
      <c r="Q96" s="86"/>
    </row>
    <row r="97" spans="1:17" s="24" customFormat="1" ht="30" customHeight="1" x14ac:dyDescent="0.3">
      <c r="A97" s="16">
        <f t="shared" si="0"/>
        <v>95</v>
      </c>
      <c r="B97" s="15">
        <v>2013</v>
      </c>
      <c r="C97" s="17" t="s">
        <v>560</v>
      </c>
      <c r="D97" s="15" t="s">
        <v>242</v>
      </c>
      <c r="E97" s="28" t="s">
        <v>324</v>
      </c>
      <c r="F97" s="15" t="s">
        <v>325</v>
      </c>
      <c r="G97" s="15" t="s">
        <v>245</v>
      </c>
      <c r="H97" s="17" t="s">
        <v>326</v>
      </c>
      <c r="I97" s="126"/>
      <c r="J97" s="117">
        <v>180</v>
      </c>
      <c r="K97" s="87">
        <v>1</v>
      </c>
      <c r="L97" s="86">
        <v>2</v>
      </c>
      <c r="M97" s="86"/>
      <c r="N97" s="86"/>
      <c r="O97" s="86"/>
      <c r="P97" s="86">
        <v>1</v>
      </c>
      <c r="Q97" s="86"/>
    </row>
    <row r="98" spans="1:17" s="24" customFormat="1" ht="30" customHeight="1" x14ac:dyDescent="0.3">
      <c r="A98" s="16">
        <f t="shared" si="0"/>
        <v>96</v>
      </c>
      <c r="B98" s="15">
        <v>2014</v>
      </c>
      <c r="C98" s="17" t="s">
        <v>458</v>
      </c>
      <c r="D98" s="15" t="s">
        <v>242</v>
      </c>
      <c r="E98" s="28" t="s">
        <v>327</v>
      </c>
      <c r="F98" s="15" t="s">
        <v>328</v>
      </c>
      <c r="G98" s="15" t="s">
        <v>236</v>
      </c>
      <c r="H98" s="17" t="s">
        <v>329</v>
      </c>
      <c r="I98" s="126"/>
      <c r="J98" s="117">
        <v>150</v>
      </c>
      <c r="K98" s="87">
        <v>6</v>
      </c>
      <c r="L98" s="86"/>
      <c r="M98" s="86"/>
      <c r="N98" s="86">
        <v>4</v>
      </c>
      <c r="O98" s="86"/>
      <c r="P98" s="86">
        <v>4</v>
      </c>
      <c r="Q98" s="86"/>
    </row>
    <row r="99" spans="1:17" s="24" customFormat="1" ht="30" customHeight="1" x14ac:dyDescent="0.3">
      <c r="A99" s="16">
        <f t="shared" si="0"/>
        <v>97</v>
      </c>
      <c r="B99" s="15">
        <v>2015</v>
      </c>
      <c r="C99" s="17" t="s">
        <v>459</v>
      </c>
      <c r="D99" s="15" t="s">
        <v>330</v>
      </c>
      <c r="E99" s="28" t="s">
        <v>497</v>
      </c>
      <c r="F99" s="15" t="s">
        <v>331</v>
      </c>
      <c r="G99" s="15" t="s">
        <v>312</v>
      </c>
      <c r="H99" s="17" t="s">
        <v>332</v>
      </c>
      <c r="I99" s="126"/>
      <c r="J99" s="117">
        <v>1040</v>
      </c>
      <c r="K99" s="87">
        <v>42</v>
      </c>
      <c r="L99" s="86">
        <v>21</v>
      </c>
      <c r="M99" s="86">
        <v>15</v>
      </c>
      <c r="N99" s="86">
        <v>9</v>
      </c>
      <c r="O99" s="86">
        <v>3</v>
      </c>
      <c r="P99" s="86">
        <v>4898</v>
      </c>
      <c r="Q99" s="86">
        <v>545</v>
      </c>
    </row>
    <row r="100" spans="1:17" s="24" customFormat="1" ht="30" customHeight="1" x14ac:dyDescent="0.3">
      <c r="A100" s="16">
        <f t="shared" si="0"/>
        <v>98</v>
      </c>
      <c r="B100" s="15">
        <v>2015</v>
      </c>
      <c r="C100" s="17" t="s">
        <v>461</v>
      </c>
      <c r="D100" s="15" t="s">
        <v>330</v>
      </c>
      <c r="E100" s="28" t="s">
        <v>498</v>
      </c>
      <c r="F100" s="15" t="s">
        <v>333</v>
      </c>
      <c r="G100" s="15" t="s">
        <v>334</v>
      </c>
      <c r="H100" s="17" t="s">
        <v>335</v>
      </c>
      <c r="I100" s="126"/>
      <c r="J100" s="117">
        <v>800</v>
      </c>
      <c r="K100" s="87">
        <v>20</v>
      </c>
      <c r="L100" s="86">
        <v>98</v>
      </c>
      <c r="M100" s="86">
        <v>21</v>
      </c>
      <c r="N100" s="86">
        <v>2</v>
      </c>
      <c r="O100" s="86"/>
      <c r="P100" s="86">
        <v>2098</v>
      </c>
      <c r="Q100" s="86">
        <v>390</v>
      </c>
    </row>
    <row r="101" spans="1:17" s="24" customFormat="1" ht="30" customHeight="1" x14ac:dyDescent="0.3">
      <c r="A101" s="16">
        <f t="shared" si="0"/>
        <v>99</v>
      </c>
      <c r="B101" s="15">
        <v>2015</v>
      </c>
      <c r="C101" s="17" t="s">
        <v>460</v>
      </c>
      <c r="D101" s="15" t="s">
        <v>330</v>
      </c>
      <c r="E101" s="28" t="s">
        <v>499</v>
      </c>
      <c r="F101" s="15" t="s">
        <v>336</v>
      </c>
      <c r="G101" s="15" t="s">
        <v>334</v>
      </c>
      <c r="H101" s="17" t="s">
        <v>337</v>
      </c>
      <c r="I101" s="126"/>
      <c r="J101" s="117">
        <v>650</v>
      </c>
      <c r="K101" s="87">
        <v>45</v>
      </c>
      <c r="L101" s="86">
        <v>105</v>
      </c>
      <c r="M101" s="86">
        <v>18</v>
      </c>
      <c r="N101" s="86">
        <v>7</v>
      </c>
      <c r="O101" s="86"/>
      <c r="P101" s="86">
        <v>2051</v>
      </c>
      <c r="Q101" s="86">
        <v>1392</v>
      </c>
    </row>
    <row r="102" spans="1:17" s="24" customFormat="1" ht="30" customHeight="1" x14ac:dyDescent="0.3">
      <c r="A102" s="16">
        <f t="shared" si="0"/>
        <v>100</v>
      </c>
      <c r="B102" s="15">
        <v>2015</v>
      </c>
      <c r="C102" s="17" t="s">
        <v>462</v>
      </c>
      <c r="D102" s="15" t="s">
        <v>242</v>
      </c>
      <c r="E102" s="28" t="s">
        <v>338</v>
      </c>
      <c r="F102" s="15" t="s">
        <v>339</v>
      </c>
      <c r="G102" s="15" t="s">
        <v>230</v>
      </c>
      <c r="H102" s="17" t="s">
        <v>340</v>
      </c>
      <c r="I102" s="130"/>
      <c r="J102" s="117">
        <v>140</v>
      </c>
      <c r="K102" s="87">
        <v>6</v>
      </c>
      <c r="L102" s="86">
        <v>6</v>
      </c>
      <c r="M102" s="86"/>
      <c r="N102" s="86">
        <v>3</v>
      </c>
      <c r="O102" s="86"/>
      <c r="P102" s="86">
        <v>3</v>
      </c>
      <c r="Q102" s="86"/>
    </row>
    <row r="103" spans="1:17" s="24" customFormat="1" ht="30" customHeight="1" x14ac:dyDescent="0.3">
      <c r="A103" s="16">
        <f t="shared" si="0"/>
        <v>101</v>
      </c>
      <c r="B103" s="15">
        <v>2015</v>
      </c>
      <c r="C103" s="17" t="s">
        <v>463</v>
      </c>
      <c r="D103" s="15" t="s">
        <v>330</v>
      </c>
      <c r="E103" s="28" t="s">
        <v>500</v>
      </c>
      <c r="F103" s="15" t="s">
        <v>341</v>
      </c>
      <c r="G103" s="15" t="s">
        <v>334</v>
      </c>
      <c r="H103" s="17" t="s">
        <v>342</v>
      </c>
      <c r="I103" s="126"/>
      <c r="J103" s="117">
        <v>400</v>
      </c>
      <c r="K103" s="87">
        <v>14</v>
      </c>
      <c r="L103" s="86">
        <v>48</v>
      </c>
      <c r="M103" s="86">
        <v>10</v>
      </c>
      <c r="N103" s="86">
        <v>4</v>
      </c>
      <c r="O103" s="86"/>
      <c r="P103" s="86">
        <v>747</v>
      </c>
      <c r="Q103" s="86">
        <v>538</v>
      </c>
    </row>
    <row r="104" spans="1:17" s="24" customFormat="1" ht="30" customHeight="1" x14ac:dyDescent="0.3">
      <c r="A104" s="16">
        <f t="shared" si="0"/>
        <v>102</v>
      </c>
      <c r="B104" s="15">
        <v>2015</v>
      </c>
      <c r="C104" s="17" t="s">
        <v>464</v>
      </c>
      <c r="D104" s="15" t="s">
        <v>219</v>
      </c>
      <c r="E104" s="28" t="s">
        <v>343</v>
      </c>
      <c r="F104" s="15" t="s">
        <v>344</v>
      </c>
      <c r="G104" s="15" t="s">
        <v>262</v>
      </c>
      <c r="H104" s="17" t="s">
        <v>345</v>
      </c>
      <c r="I104" s="130"/>
      <c r="J104" s="117">
        <v>215</v>
      </c>
      <c r="K104" s="87">
        <v>4</v>
      </c>
      <c r="L104" s="86">
        <v>16</v>
      </c>
      <c r="M104" s="86"/>
      <c r="N104" s="86">
        <v>10</v>
      </c>
      <c r="O104" s="86"/>
      <c r="P104" s="86">
        <v>1</v>
      </c>
      <c r="Q104" s="86"/>
    </row>
    <row r="105" spans="1:17" s="24" customFormat="1" ht="30" customHeight="1" x14ac:dyDescent="0.3">
      <c r="A105" s="16">
        <f t="shared" si="0"/>
        <v>103</v>
      </c>
      <c r="B105" s="15">
        <v>2015</v>
      </c>
      <c r="C105" s="17" t="s">
        <v>465</v>
      </c>
      <c r="D105" s="15" t="s">
        <v>242</v>
      </c>
      <c r="E105" s="28" t="s">
        <v>346</v>
      </c>
      <c r="F105" s="15" t="s">
        <v>347</v>
      </c>
      <c r="G105" s="15" t="s">
        <v>287</v>
      </c>
      <c r="H105" s="17" t="s">
        <v>348</v>
      </c>
      <c r="I105" s="126"/>
      <c r="J105" s="117">
        <v>140</v>
      </c>
      <c r="K105" s="87">
        <v>6</v>
      </c>
      <c r="L105" s="86">
        <v>8</v>
      </c>
      <c r="M105" s="86"/>
      <c r="N105" s="86">
        <v>1</v>
      </c>
      <c r="O105" s="86"/>
      <c r="P105" s="86">
        <v>1</v>
      </c>
      <c r="Q105" s="86"/>
    </row>
    <row r="106" spans="1:17" s="24" customFormat="1" ht="30" customHeight="1" x14ac:dyDescent="0.3">
      <c r="A106" s="16">
        <f t="shared" si="0"/>
        <v>104</v>
      </c>
      <c r="B106" s="15">
        <v>2015</v>
      </c>
      <c r="C106" s="17" t="s">
        <v>466</v>
      </c>
      <c r="D106" s="15" t="s">
        <v>219</v>
      </c>
      <c r="E106" s="28" t="s">
        <v>349</v>
      </c>
      <c r="F106" s="15" t="s">
        <v>350</v>
      </c>
      <c r="G106" s="15" t="s">
        <v>226</v>
      </c>
      <c r="H106" s="17" t="s">
        <v>351</v>
      </c>
      <c r="I106" s="126"/>
      <c r="J106" s="117">
        <v>75</v>
      </c>
      <c r="K106" s="83"/>
      <c r="L106" s="86"/>
      <c r="M106" s="86"/>
      <c r="N106" s="86"/>
      <c r="O106" s="86"/>
      <c r="P106" s="86"/>
      <c r="Q106" s="86"/>
    </row>
    <row r="107" spans="1:17" s="24" customFormat="1" ht="30" customHeight="1" x14ac:dyDescent="0.3">
      <c r="A107" s="16">
        <f t="shared" si="0"/>
        <v>105</v>
      </c>
      <c r="B107" s="15">
        <v>2015</v>
      </c>
      <c r="C107" s="17" t="s">
        <v>467</v>
      </c>
      <c r="D107" s="15" t="s">
        <v>219</v>
      </c>
      <c r="E107" s="28" t="s">
        <v>352</v>
      </c>
      <c r="F107" s="15" t="s">
        <v>353</v>
      </c>
      <c r="G107" s="15" t="s">
        <v>262</v>
      </c>
      <c r="H107" s="17" t="s">
        <v>354</v>
      </c>
      <c r="I107" s="130"/>
      <c r="J107" s="117">
        <v>245</v>
      </c>
      <c r="K107" s="98"/>
      <c r="L107" s="86"/>
      <c r="M107" s="86"/>
      <c r="N107" s="86">
        <v>1</v>
      </c>
      <c r="O107" s="86">
        <v>1</v>
      </c>
      <c r="P107" s="86"/>
      <c r="Q107" s="86"/>
    </row>
    <row r="108" spans="1:17" s="24" customFormat="1" ht="30" customHeight="1" x14ac:dyDescent="0.3">
      <c r="A108" s="16">
        <f t="shared" si="0"/>
        <v>106</v>
      </c>
      <c r="B108" s="15">
        <v>2017</v>
      </c>
      <c r="C108" s="17" t="s">
        <v>467</v>
      </c>
      <c r="D108" s="15" t="s">
        <v>242</v>
      </c>
      <c r="E108" s="28" t="s">
        <v>385</v>
      </c>
      <c r="F108" s="15" t="s">
        <v>386</v>
      </c>
      <c r="G108" s="15" t="s">
        <v>262</v>
      </c>
      <c r="H108" s="17" t="s">
        <v>387</v>
      </c>
      <c r="I108" s="130"/>
      <c r="J108" s="117">
        <v>105</v>
      </c>
      <c r="K108" s="87">
        <v>2</v>
      </c>
      <c r="L108" s="86">
        <v>16</v>
      </c>
      <c r="M108" s="86"/>
      <c r="N108" s="86"/>
      <c r="O108" s="86"/>
      <c r="P108" s="86">
        <v>2</v>
      </c>
      <c r="Q108" s="86"/>
    </row>
    <row r="109" spans="1:17" s="24" customFormat="1" ht="30" customHeight="1" x14ac:dyDescent="0.3">
      <c r="A109" s="16">
        <f t="shared" si="0"/>
        <v>107</v>
      </c>
      <c r="B109" s="15">
        <v>2016</v>
      </c>
      <c r="C109" s="17" t="s">
        <v>468</v>
      </c>
      <c r="D109" s="15" t="s">
        <v>330</v>
      </c>
      <c r="E109" s="28" t="s">
        <v>364</v>
      </c>
      <c r="F109" s="15" t="s">
        <v>365</v>
      </c>
      <c r="G109" s="15" t="s">
        <v>366</v>
      </c>
      <c r="H109" s="17" t="s">
        <v>367</v>
      </c>
      <c r="I109" s="126"/>
      <c r="J109" s="117">
        <v>1100</v>
      </c>
      <c r="K109" s="87">
        <v>42</v>
      </c>
      <c r="L109" s="86">
        <v>45</v>
      </c>
      <c r="M109" s="86">
        <v>50</v>
      </c>
      <c r="N109" s="86">
        <v>9</v>
      </c>
      <c r="O109" s="86">
        <v>2</v>
      </c>
      <c r="P109" s="86">
        <v>1527</v>
      </c>
      <c r="Q109" s="86">
        <v>660</v>
      </c>
    </row>
    <row r="110" spans="1:17" s="24" customFormat="1" ht="30" customHeight="1" x14ac:dyDescent="0.3">
      <c r="A110" s="16">
        <f t="shared" si="0"/>
        <v>108</v>
      </c>
      <c r="B110" s="15">
        <v>2016</v>
      </c>
      <c r="C110" s="17" t="s">
        <v>468</v>
      </c>
      <c r="D110" s="15" t="s">
        <v>242</v>
      </c>
      <c r="E110" s="28" t="s">
        <v>565</v>
      </c>
      <c r="F110" s="15" t="s">
        <v>373</v>
      </c>
      <c r="G110" s="15" t="s">
        <v>366</v>
      </c>
      <c r="H110" s="17" t="s">
        <v>374</v>
      </c>
      <c r="I110" s="130"/>
      <c r="J110" s="117">
        <v>1100</v>
      </c>
      <c r="K110" s="87">
        <v>42</v>
      </c>
      <c r="L110" s="86">
        <v>45</v>
      </c>
      <c r="M110" s="86">
        <v>50</v>
      </c>
      <c r="N110" s="86">
        <v>9</v>
      </c>
      <c r="O110" s="86">
        <v>2</v>
      </c>
      <c r="P110" s="86">
        <v>1527</v>
      </c>
      <c r="Q110" s="86">
        <v>660</v>
      </c>
    </row>
    <row r="111" spans="1:17" s="24" customFormat="1" ht="30" customHeight="1" x14ac:dyDescent="0.3">
      <c r="A111" s="16">
        <f t="shared" si="0"/>
        <v>109</v>
      </c>
      <c r="B111" s="15">
        <v>2016</v>
      </c>
      <c r="C111" s="17" t="s">
        <v>469</v>
      </c>
      <c r="D111" s="15" t="s">
        <v>219</v>
      </c>
      <c r="E111" s="28" t="s">
        <v>368</v>
      </c>
      <c r="F111" s="15" t="s">
        <v>369</v>
      </c>
      <c r="G111" s="15" t="s">
        <v>334</v>
      </c>
      <c r="H111" s="17" t="s">
        <v>370</v>
      </c>
      <c r="I111" s="126"/>
      <c r="J111" s="117">
        <v>350</v>
      </c>
      <c r="K111" s="83"/>
      <c r="L111" s="86">
        <v>20</v>
      </c>
      <c r="M111" s="86">
        <v>2</v>
      </c>
      <c r="N111" s="86"/>
      <c r="O111" s="86"/>
      <c r="P111" s="86">
        <v>403</v>
      </c>
      <c r="Q111" s="86"/>
    </row>
    <row r="112" spans="1:17" s="24" customFormat="1" ht="30" customHeight="1" x14ac:dyDescent="0.3">
      <c r="A112" s="16">
        <f t="shared" si="0"/>
        <v>110</v>
      </c>
      <c r="B112" s="15">
        <v>2016</v>
      </c>
      <c r="C112" s="17" t="s">
        <v>470</v>
      </c>
      <c r="D112" s="15" t="s">
        <v>242</v>
      </c>
      <c r="E112" s="28" t="s">
        <v>471</v>
      </c>
      <c r="F112" s="15" t="s">
        <v>355</v>
      </c>
      <c r="G112" s="15" t="s">
        <v>356</v>
      </c>
      <c r="H112" s="17" t="s">
        <v>357</v>
      </c>
      <c r="I112" s="126"/>
      <c r="J112" s="117">
        <v>110</v>
      </c>
      <c r="K112" s="87">
        <v>7</v>
      </c>
      <c r="L112" s="86">
        <v>14</v>
      </c>
      <c r="M112" s="86"/>
      <c r="N112" s="86">
        <v>2</v>
      </c>
      <c r="O112" s="86"/>
      <c r="P112" s="86">
        <v>1</v>
      </c>
      <c r="Q112" s="86">
        <v>46</v>
      </c>
    </row>
    <row r="113" spans="1:17" s="24" customFormat="1" ht="30" customHeight="1" x14ac:dyDescent="0.3">
      <c r="A113" s="16">
        <f t="shared" si="0"/>
        <v>111</v>
      </c>
      <c r="B113" s="15">
        <v>2016</v>
      </c>
      <c r="C113" s="17" t="s">
        <v>472</v>
      </c>
      <c r="D113" s="15" t="s">
        <v>242</v>
      </c>
      <c r="E113" s="28" t="s">
        <v>473</v>
      </c>
      <c r="F113" s="15" t="s">
        <v>358</v>
      </c>
      <c r="G113" s="15" t="s">
        <v>223</v>
      </c>
      <c r="H113" s="17" t="s">
        <v>359</v>
      </c>
      <c r="I113" s="126"/>
      <c r="J113" s="117">
        <v>150</v>
      </c>
      <c r="K113" s="87">
        <v>5</v>
      </c>
      <c r="L113" s="86">
        <v>4</v>
      </c>
      <c r="M113" s="86"/>
      <c r="N113" s="86">
        <v>3</v>
      </c>
      <c r="O113" s="86"/>
      <c r="P113" s="86">
        <v>1</v>
      </c>
      <c r="Q113" s="86"/>
    </row>
    <row r="114" spans="1:17" s="24" customFormat="1" ht="30" customHeight="1" x14ac:dyDescent="0.3">
      <c r="A114" s="16">
        <f t="shared" si="0"/>
        <v>112</v>
      </c>
      <c r="B114" s="15">
        <v>2016</v>
      </c>
      <c r="C114" s="17" t="s">
        <v>474</v>
      </c>
      <c r="D114" s="15" t="s">
        <v>242</v>
      </c>
      <c r="E114" s="28" t="s">
        <v>360</v>
      </c>
      <c r="F114" s="15" t="s">
        <v>361</v>
      </c>
      <c r="G114" s="15" t="s">
        <v>362</v>
      </c>
      <c r="H114" s="17" t="s">
        <v>363</v>
      </c>
      <c r="I114" s="126"/>
      <c r="J114" s="117">
        <v>165</v>
      </c>
      <c r="K114" s="83"/>
      <c r="L114" s="86">
        <v>8</v>
      </c>
      <c r="M114" s="86"/>
      <c r="N114" s="86">
        <v>3</v>
      </c>
      <c r="O114" s="86"/>
      <c r="P114" s="86">
        <v>1</v>
      </c>
      <c r="Q114" s="86"/>
    </row>
    <row r="115" spans="1:17" s="24" customFormat="1" ht="30" customHeight="1" x14ac:dyDescent="0.3">
      <c r="A115" s="16">
        <f t="shared" si="0"/>
        <v>113</v>
      </c>
      <c r="B115" s="15">
        <v>2016</v>
      </c>
      <c r="C115" s="17" t="s">
        <v>475</v>
      </c>
      <c r="D115" s="15" t="s">
        <v>242</v>
      </c>
      <c r="E115" s="28" t="s">
        <v>566</v>
      </c>
      <c r="F115" s="15" t="s">
        <v>371</v>
      </c>
      <c r="G115" s="15" t="s">
        <v>236</v>
      </c>
      <c r="H115" s="17" t="s">
        <v>372</v>
      </c>
      <c r="I115" s="126"/>
      <c r="J115" s="117">
        <v>90</v>
      </c>
      <c r="K115" s="83"/>
      <c r="L115" s="86">
        <v>8</v>
      </c>
      <c r="M115" s="86">
        <v>4</v>
      </c>
      <c r="N115" s="86">
        <v>3</v>
      </c>
      <c r="O115" s="86"/>
      <c r="P115" s="86"/>
      <c r="Q115" s="86"/>
    </row>
    <row r="116" spans="1:17" s="24" customFormat="1" ht="30" customHeight="1" x14ac:dyDescent="0.3">
      <c r="A116" s="16">
        <f t="shared" si="0"/>
        <v>114</v>
      </c>
      <c r="B116" s="15">
        <v>2017</v>
      </c>
      <c r="C116" s="17" t="s">
        <v>476</v>
      </c>
      <c r="D116" s="15" t="s">
        <v>379</v>
      </c>
      <c r="E116" s="28" t="s">
        <v>380</v>
      </c>
      <c r="F116" s="15" t="s">
        <v>381</v>
      </c>
      <c r="G116" s="15" t="s">
        <v>334</v>
      </c>
      <c r="H116" s="17" t="s">
        <v>382</v>
      </c>
      <c r="I116" s="126"/>
      <c r="J116" s="117">
        <v>1135</v>
      </c>
      <c r="K116" s="87">
        <v>10</v>
      </c>
      <c r="L116" s="86">
        <v>14</v>
      </c>
      <c r="M116" s="86"/>
      <c r="N116" s="86">
        <v>3</v>
      </c>
      <c r="O116" s="86"/>
      <c r="P116" s="86"/>
      <c r="Q116" s="86"/>
    </row>
    <row r="117" spans="1:17" s="33" customFormat="1" ht="30" customHeight="1" x14ac:dyDescent="0.3">
      <c r="A117" s="16">
        <f t="shared" si="0"/>
        <v>115</v>
      </c>
      <c r="B117" s="15">
        <v>2017</v>
      </c>
      <c r="C117" s="17" t="s">
        <v>478</v>
      </c>
      <c r="D117" s="15" t="s">
        <v>263</v>
      </c>
      <c r="E117" s="28" t="s">
        <v>388</v>
      </c>
      <c r="F117" s="15" t="s">
        <v>389</v>
      </c>
      <c r="G117" s="15" t="s">
        <v>366</v>
      </c>
      <c r="H117" s="17" t="s">
        <v>390</v>
      </c>
      <c r="I117" s="130"/>
      <c r="J117" s="119">
        <v>70</v>
      </c>
      <c r="K117" s="87">
        <v>3</v>
      </c>
      <c r="L117" s="91">
        <v>5</v>
      </c>
      <c r="M117" s="91"/>
      <c r="N117" s="91">
        <v>2</v>
      </c>
      <c r="O117" s="91"/>
      <c r="P117" s="91">
        <v>1</v>
      </c>
      <c r="Q117" s="91"/>
    </row>
    <row r="118" spans="1:17" s="24" customFormat="1" ht="30" customHeight="1" x14ac:dyDescent="0.3">
      <c r="A118" s="16">
        <f t="shared" si="0"/>
        <v>116</v>
      </c>
      <c r="B118" s="15">
        <v>2017</v>
      </c>
      <c r="C118" s="17" t="s">
        <v>479</v>
      </c>
      <c r="D118" s="15" t="s">
        <v>375</v>
      </c>
      <c r="E118" s="28" t="s">
        <v>391</v>
      </c>
      <c r="F118" s="15" t="s">
        <v>392</v>
      </c>
      <c r="G118" s="15" t="s">
        <v>287</v>
      </c>
      <c r="H118" s="17" t="s">
        <v>393</v>
      </c>
      <c r="I118" s="126"/>
      <c r="J118" s="117">
        <v>140</v>
      </c>
      <c r="K118" s="87">
        <v>6</v>
      </c>
      <c r="L118" s="86">
        <v>24</v>
      </c>
      <c r="M118" s="86"/>
      <c r="N118" s="86">
        <v>4</v>
      </c>
      <c r="O118" s="86"/>
      <c r="P118" s="86">
        <v>1</v>
      </c>
      <c r="Q118" s="86"/>
    </row>
    <row r="119" spans="1:17" s="24" customFormat="1" ht="30" customHeight="1" x14ac:dyDescent="0.3">
      <c r="A119" s="16">
        <f t="shared" si="0"/>
        <v>117</v>
      </c>
      <c r="B119" s="15">
        <v>2018</v>
      </c>
      <c r="C119" s="17" t="s">
        <v>480</v>
      </c>
      <c r="D119" s="15" t="s">
        <v>394</v>
      </c>
      <c r="E119" s="28" t="s">
        <v>501</v>
      </c>
      <c r="F119" s="15" t="s">
        <v>395</v>
      </c>
      <c r="G119" s="15" t="s">
        <v>334</v>
      </c>
      <c r="H119" s="17" t="s">
        <v>396</v>
      </c>
      <c r="I119" s="126"/>
      <c r="J119" s="117">
        <v>500</v>
      </c>
      <c r="K119" s="87">
        <v>27</v>
      </c>
      <c r="L119" s="86">
        <v>38</v>
      </c>
      <c r="M119" s="86">
        <v>12</v>
      </c>
      <c r="N119" s="86">
        <v>8</v>
      </c>
      <c r="O119" s="86"/>
      <c r="P119" s="86">
        <v>446</v>
      </c>
      <c r="Q119" s="86">
        <v>652</v>
      </c>
    </row>
    <row r="120" spans="1:17" s="24" customFormat="1" ht="30" customHeight="1" x14ac:dyDescent="0.3">
      <c r="A120" s="16">
        <f t="shared" si="0"/>
        <v>118</v>
      </c>
      <c r="B120" s="15">
        <v>2018</v>
      </c>
      <c r="C120" s="17" t="s">
        <v>481</v>
      </c>
      <c r="D120" s="15" t="s">
        <v>219</v>
      </c>
      <c r="E120" s="28" t="s">
        <v>397</v>
      </c>
      <c r="F120" s="15" t="s">
        <v>398</v>
      </c>
      <c r="G120" s="15" t="s">
        <v>262</v>
      </c>
      <c r="H120" s="17" t="s">
        <v>399</v>
      </c>
      <c r="I120" s="126"/>
      <c r="J120" s="117">
        <v>170</v>
      </c>
      <c r="K120" s="86">
        <v>6</v>
      </c>
      <c r="L120" s="86">
        <v>24</v>
      </c>
      <c r="M120" s="86"/>
      <c r="N120" s="86">
        <v>4</v>
      </c>
      <c r="O120" s="86"/>
      <c r="P120" s="86">
        <v>3</v>
      </c>
      <c r="Q120" s="86"/>
    </row>
    <row r="121" spans="1:17" s="24" customFormat="1" ht="30" customHeight="1" x14ac:dyDescent="0.3">
      <c r="A121" s="16">
        <f t="shared" si="0"/>
        <v>119</v>
      </c>
      <c r="B121" s="15">
        <v>2018</v>
      </c>
      <c r="C121" s="17" t="s">
        <v>482</v>
      </c>
      <c r="D121" s="15" t="s">
        <v>242</v>
      </c>
      <c r="E121" s="28" t="s">
        <v>400</v>
      </c>
      <c r="F121" s="15" t="s">
        <v>401</v>
      </c>
      <c r="G121" s="15" t="s">
        <v>334</v>
      </c>
      <c r="H121" s="17" t="s">
        <v>402</v>
      </c>
      <c r="I121" s="126"/>
      <c r="J121" s="117">
        <v>75</v>
      </c>
      <c r="K121" s="31">
        <v>4</v>
      </c>
      <c r="L121" s="86">
        <v>16</v>
      </c>
      <c r="M121" s="86"/>
      <c r="N121" s="86">
        <v>2</v>
      </c>
      <c r="O121" s="86"/>
      <c r="P121" s="86">
        <v>1</v>
      </c>
      <c r="Q121" s="86"/>
    </row>
    <row r="122" spans="1:17" s="24" customFormat="1" ht="30" customHeight="1" x14ac:dyDescent="0.3">
      <c r="A122" s="16">
        <f t="shared" si="0"/>
        <v>120</v>
      </c>
      <c r="B122" s="15">
        <v>2018</v>
      </c>
      <c r="C122" s="17" t="s">
        <v>483</v>
      </c>
      <c r="D122" s="15" t="s">
        <v>242</v>
      </c>
      <c r="E122" s="28" t="s">
        <v>403</v>
      </c>
      <c r="F122" s="15" t="s">
        <v>404</v>
      </c>
      <c r="G122" s="15" t="s">
        <v>405</v>
      </c>
      <c r="H122" s="17" t="s">
        <v>406</v>
      </c>
      <c r="I122" s="126"/>
      <c r="J122" s="117">
        <v>215</v>
      </c>
      <c r="K122" s="87">
        <v>4</v>
      </c>
      <c r="L122" s="86">
        <v>32</v>
      </c>
      <c r="M122" s="86"/>
      <c r="N122" s="86">
        <v>6</v>
      </c>
      <c r="O122" s="86"/>
      <c r="P122" s="86">
        <v>4</v>
      </c>
      <c r="Q122" s="86"/>
    </row>
    <row r="123" spans="1:17" s="24" customFormat="1" ht="30" customHeight="1" x14ac:dyDescent="0.3">
      <c r="A123" s="16">
        <f t="shared" si="0"/>
        <v>121</v>
      </c>
      <c r="B123" s="15">
        <v>2018</v>
      </c>
      <c r="C123" s="17" t="s">
        <v>484</v>
      </c>
      <c r="D123" s="15" t="s">
        <v>242</v>
      </c>
      <c r="E123" s="28" t="s">
        <v>407</v>
      </c>
      <c r="F123" s="15" t="s">
        <v>408</v>
      </c>
      <c r="G123" s="15" t="s">
        <v>334</v>
      </c>
      <c r="H123" s="17" t="s">
        <v>409</v>
      </c>
      <c r="I123" s="126"/>
      <c r="J123" s="117">
        <v>110</v>
      </c>
      <c r="K123" s="87">
        <v>4</v>
      </c>
      <c r="L123" s="86">
        <v>32</v>
      </c>
      <c r="M123" s="86"/>
      <c r="N123" s="86">
        <v>2</v>
      </c>
      <c r="O123" s="86"/>
      <c r="P123" s="86">
        <v>3</v>
      </c>
      <c r="Q123" s="86"/>
    </row>
    <row r="124" spans="1:17" s="24" customFormat="1" ht="30" customHeight="1" x14ac:dyDescent="0.3">
      <c r="A124" s="16">
        <f t="shared" si="0"/>
        <v>122</v>
      </c>
      <c r="B124" s="15">
        <v>2020</v>
      </c>
      <c r="C124" s="17" t="s">
        <v>489</v>
      </c>
      <c r="D124" s="4" t="s">
        <v>9</v>
      </c>
      <c r="E124" s="28" t="s">
        <v>502</v>
      </c>
      <c r="F124" s="15" t="s">
        <v>562</v>
      </c>
      <c r="G124" s="15" t="s">
        <v>138</v>
      </c>
      <c r="H124" s="17" t="s">
        <v>490</v>
      </c>
      <c r="I124" s="126"/>
      <c r="J124" s="117">
        <v>1955</v>
      </c>
      <c r="K124" s="87">
        <v>48</v>
      </c>
      <c r="L124" s="86">
        <v>60</v>
      </c>
      <c r="M124" s="86"/>
      <c r="N124" s="86">
        <v>10</v>
      </c>
      <c r="O124" s="86"/>
      <c r="P124" s="86">
        <v>14</v>
      </c>
      <c r="Q124" s="86">
        <v>1761</v>
      </c>
    </row>
    <row r="125" spans="1:17" s="24" customFormat="1" ht="30" customHeight="1" x14ac:dyDescent="0.3">
      <c r="A125" s="16">
        <f t="shared" si="0"/>
        <v>123</v>
      </c>
      <c r="B125" s="15">
        <v>2020</v>
      </c>
      <c r="C125" s="17" t="s">
        <v>485</v>
      </c>
      <c r="D125" s="15" t="s">
        <v>237</v>
      </c>
      <c r="E125" s="28" t="s">
        <v>486</v>
      </c>
      <c r="F125" s="15" t="s">
        <v>487</v>
      </c>
      <c r="G125" s="15" t="s">
        <v>17</v>
      </c>
      <c r="H125" s="17" t="s">
        <v>488</v>
      </c>
      <c r="I125" s="126"/>
      <c r="J125" s="117">
        <v>1195</v>
      </c>
      <c r="K125" s="87">
        <v>10</v>
      </c>
      <c r="L125" s="86">
        <v>66</v>
      </c>
      <c r="M125" s="86"/>
      <c r="N125" s="86">
        <v>11</v>
      </c>
      <c r="O125" s="86"/>
      <c r="P125" s="86"/>
      <c r="Q125" s="86"/>
    </row>
    <row r="126" spans="1:17" s="24" customFormat="1" ht="30" customHeight="1" x14ac:dyDescent="0.3">
      <c r="A126" s="16">
        <f t="shared" si="0"/>
        <v>124</v>
      </c>
      <c r="B126" s="15">
        <v>2020</v>
      </c>
      <c r="C126" s="17" t="s">
        <v>491</v>
      </c>
      <c r="D126" s="4" t="s">
        <v>9</v>
      </c>
      <c r="E126" s="28" t="s">
        <v>503</v>
      </c>
      <c r="F126" s="15" t="s">
        <v>563</v>
      </c>
      <c r="G126" s="15" t="s">
        <v>72</v>
      </c>
      <c r="H126" s="17" t="s">
        <v>493</v>
      </c>
      <c r="I126" s="126"/>
      <c r="J126" s="121"/>
      <c r="K126" s="100"/>
      <c r="L126" s="99"/>
      <c r="M126" s="99"/>
      <c r="N126" s="99"/>
      <c r="O126" s="99"/>
      <c r="P126" s="99"/>
      <c r="Q126" s="99"/>
    </row>
    <row r="127" spans="1:17" s="24" customFormat="1" ht="30" customHeight="1" x14ac:dyDescent="0.3">
      <c r="A127" s="16">
        <f t="shared" si="0"/>
        <v>125</v>
      </c>
      <c r="B127" s="15">
        <v>2020</v>
      </c>
      <c r="C127" s="17" t="s">
        <v>509</v>
      </c>
      <c r="D127" s="15" t="s">
        <v>375</v>
      </c>
      <c r="E127" s="28" t="s">
        <v>510</v>
      </c>
      <c r="F127" s="15" t="s">
        <v>511</v>
      </c>
      <c r="G127" s="15" t="s">
        <v>138</v>
      </c>
      <c r="H127" s="17" t="s">
        <v>512</v>
      </c>
      <c r="I127" s="126"/>
      <c r="J127" s="117">
        <v>140</v>
      </c>
      <c r="K127" s="87">
        <v>8</v>
      </c>
      <c r="L127" s="86">
        <v>4</v>
      </c>
      <c r="M127" s="86"/>
      <c r="N127" s="86">
        <v>1</v>
      </c>
      <c r="O127" s="86"/>
      <c r="P127" s="86"/>
      <c r="Q127" s="86"/>
    </row>
    <row r="128" spans="1:17" s="24" customFormat="1" ht="30" customHeight="1" x14ac:dyDescent="0.3">
      <c r="A128" s="16">
        <f t="shared" si="0"/>
        <v>126</v>
      </c>
      <c r="B128" s="15">
        <v>2020</v>
      </c>
      <c r="C128" s="17" t="s">
        <v>567</v>
      </c>
      <c r="D128" s="15" t="s">
        <v>568</v>
      </c>
      <c r="E128" s="28" t="s">
        <v>569</v>
      </c>
      <c r="F128" s="15"/>
      <c r="G128" s="15" t="s">
        <v>570</v>
      </c>
      <c r="H128" s="17" t="s">
        <v>571</v>
      </c>
      <c r="I128" s="130"/>
      <c r="J128" s="117">
        <v>1955</v>
      </c>
      <c r="K128" s="86">
        <v>48</v>
      </c>
      <c r="L128" s="86">
        <v>60</v>
      </c>
      <c r="M128" s="86"/>
      <c r="N128" s="86">
        <v>10</v>
      </c>
      <c r="O128" s="86"/>
      <c r="P128" s="86">
        <v>14</v>
      </c>
      <c r="Q128" s="86">
        <v>1761</v>
      </c>
    </row>
    <row r="129" spans="1:43" s="24" customFormat="1" ht="30" customHeight="1" x14ac:dyDescent="0.3">
      <c r="A129" s="16">
        <f t="shared" si="0"/>
        <v>127</v>
      </c>
      <c r="B129" s="4">
        <v>2020</v>
      </c>
      <c r="C129" s="6" t="s">
        <v>572</v>
      </c>
      <c r="D129" s="4" t="s">
        <v>9</v>
      </c>
      <c r="E129" s="27" t="s">
        <v>573</v>
      </c>
      <c r="F129" s="4"/>
      <c r="G129" s="4" t="s">
        <v>138</v>
      </c>
      <c r="H129" s="6" t="s">
        <v>574</v>
      </c>
      <c r="I129" s="130"/>
      <c r="J129" s="117">
        <v>1470</v>
      </c>
      <c r="K129" s="86">
        <v>63</v>
      </c>
      <c r="L129" s="86">
        <v>105</v>
      </c>
      <c r="M129" s="86"/>
      <c r="N129" s="86">
        <v>7</v>
      </c>
      <c r="O129" s="86"/>
      <c r="P129" s="86">
        <v>22</v>
      </c>
      <c r="Q129" s="86">
        <v>1392</v>
      </c>
    </row>
    <row r="130" spans="1:43" s="24" customFormat="1" ht="30" customHeight="1" x14ac:dyDescent="0.3">
      <c r="A130" s="16">
        <f t="shared" si="0"/>
        <v>128</v>
      </c>
      <c r="B130" s="15">
        <v>2020</v>
      </c>
      <c r="C130" s="17" t="s">
        <v>575</v>
      </c>
      <c r="D130" s="15" t="s">
        <v>576</v>
      </c>
      <c r="E130" s="28" t="s">
        <v>577</v>
      </c>
      <c r="F130" s="15" t="s">
        <v>578</v>
      </c>
      <c r="G130" s="15" t="s">
        <v>590</v>
      </c>
      <c r="H130" s="17" t="s">
        <v>591</v>
      </c>
      <c r="I130" s="126"/>
      <c r="J130" s="117">
        <v>90</v>
      </c>
      <c r="K130" s="86">
        <v>9</v>
      </c>
      <c r="L130" s="86">
        <v>8</v>
      </c>
      <c r="M130" s="86"/>
      <c r="N130" s="86">
        <v>1</v>
      </c>
      <c r="O130" s="86"/>
      <c r="P130" s="86">
        <v>1</v>
      </c>
      <c r="Q130" s="86"/>
    </row>
    <row r="131" spans="1:43" s="24" customFormat="1" ht="30" customHeight="1" x14ac:dyDescent="0.3">
      <c r="A131" s="16">
        <f t="shared" si="0"/>
        <v>129</v>
      </c>
      <c r="B131" s="15">
        <v>2020</v>
      </c>
      <c r="C131" s="17" t="s">
        <v>579</v>
      </c>
      <c r="D131" s="15" t="s">
        <v>582</v>
      </c>
      <c r="E131" s="28" t="s">
        <v>696</v>
      </c>
      <c r="F131" s="15"/>
      <c r="G131" s="15" t="s">
        <v>585</v>
      </c>
      <c r="H131" s="17" t="s">
        <v>586</v>
      </c>
      <c r="I131" s="130"/>
      <c r="J131" s="121"/>
      <c r="K131" s="101"/>
      <c r="L131" s="99"/>
      <c r="M131" s="99"/>
      <c r="N131" s="99"/>
      <c r="O131" s="99"/>
      <c r="P131" s="99"/>
      <c r="Q131" s="99"/>
    </row>
    <row r="132" spans="1:43" s="24" customFormat="1" ht="30" customHeight="1" x14ac:dyDescent="0.3">
      <c r="A132" s="16">
        <f t="shared" si="0"/>
        <v>130</v>
      </c>
      <c r="B132" s="15">
        <v>2020</v>
      </c>
      <c r="C132" s="17" t="s">
        <v>580</v>
      </c>
      <c r="D132" s="15" t="s">
        <v>582</v>
      </c>
      <c r="E132" s="28" t="s">
        <v>583</v>
      </c>
      <c r="F132" s="15"/>
      <c r="G132" s="15" t="s">
        <v>587</v>
      </c>
      <c r="H132" s="17" t="s">
        <v>588</v>
      </c>
      <c r="I132" s="130"/>
      <c r="J132" s="121"/>
      <c r="K132" s="101"/>
      <c r="L132" s="99"/>
      <c r="M132" s="99"/>
      <c r="N132" s="99"/>
      <c r="O132" s="99"/>
      <c r="P132" s="99"/>
      <c r="Q132" s="99"/>
    </row>
    <row r="133" spans="1:43" s="24" customFormat="1" ht="30" customHeight="1" x14ac:dyDescent="0.3">
      <c r="A133" s="16">
        <f t="shared" si="0"/>
        <v>131</v>
      </c>
      <c r="B133" s="15">
        <v>2020</v>
      </c>
      <c r="C133" s="17" t="s">
        <v>581</v>
      </c>
      <c r="D133" s="15" t="s">
        <v>568</v>
      </c>
      <c r="E133" s="28" t="s">
        <v>584</v>
      </c>
      <c r="F133" s="15"/>
      <c r="G133" s="15" t="s">
        <v>587</v>
      </c>
      <c r="H133" s="17" t="s">
        <v>589</v>
      </c>
      <c r="I133" s="130"/>
      <c r="J133" s="121"/>
      <c r="K133" s="101"/>
      <c r="L133" s="99"/>
      <c r="M133" s="99"/>
      <c r="N133" s="99"/>
      <c r="O133" s="99"/>
      <c r="P133" s="99"/>
      <c r="Q133" s="99"/>
    </row>
    <row r="134" spans="1:43" s="24" customFormat="1" ht="30" customHeight="1" x14ac:dyDescent="0.3">
      <c r="A134" s="16">
        <f t="shared" si="0"/>
        <v>132</v>
      </c>
      <c r="B134" s="15">
        <v>2021</v>
      </c>
      <c r="C134" s="17" t="s">
        <v>592</v>
      </c>
      <c r="D134" s="15" t="s">
        <v>593</v>
      </c>
      <c r="E134" s="28" t="s">
        <v>594</v>
      </c>
      <c r="F134" s="15" t="s">
        <v>595</v>
      </c>
      <c r="G134" s="15" t="s">
        <v>596</v>
      </c>
      <c r="H134" s="17" t="s">
        <v>597</v>
      </c>
      <c r="I134" s="130"/>
      <c r="J134" s="121"/>
      <c r="K134" s="101"/>
      <c r="L134" s="99"/>
      <c r="M134" s="99"/>
      <c r="N134" s="99"/>
      <c r="O134" s="99"/>
      <c r="P134" s="99"/>
      <c r="Q134" s="99"/>
    </row>
    <row r="135" spans="1:43" s="19" customFormat="1" ht="30" customHeight="1" x14ac:dyDescent="0.3">
      <c r="A135" s="18">
        <v>133</v>
      </c>
      <c r="B135" s="4">
        <v>2021</v>
      </c>
      <c r="C135" s="6" t="s">
        <v>685</v>
      </c>
      <c r="D135" s="4" t="s">
        <v>146</v>
      </c>
      <c r="E135" s="27" t="s">
        <v>686</v>
      </c>
      <c r="F135" s="4" t="s">
        <v>687</v>
      </c>
      <c r="G135" s="4" t="s">
        <v>138</v>
      </c>
      <c r="H135" s="6" t="s">
        <v>761</v>
      </c>
      <c r="I135" s="131"/>
      <c r="J135" s="122"/>
      <c r="K135" s="90"/>
      <c r="L135" s="96"/>
      <c r="M135" s="96"/>
      <c r="N135" s="96"/>
      <c r="O135" s="96"/>
      <c r="P135" s="96"/>
      <c r="Q135" s="96"/>
    </row>
    <row r="136" spans="1:43" s="19" customFormat="1" ht="30" customHeight="1" x14ac:dyDescent="0.3">
      <c r="A136" s="18">
        <v>134</v>
      </c>
      <c r="B136" s="4">
        <v>2021</v>
      </c>
      <c r="C136" s="6" t="s">
        <v>688</v>
      </c>
      <c r="D136" s="4" t="s">
        <v>9</v>
      </c>
      <c r="E136" s="27" t="s">
        <v>689</v>
      </c>
      <c r="F136" s="4" t="s">
        <v>759</v>
      </c>
      <c r="G136" s="4" t="s">
        <v>72</v>
      </c>
      <c r="H136" s="6" t="s">
        <v>690</v>
      </c>
      <c r="I136" s="131"/>
      <c r="J136" s="122"/>
      <c r="K136" s="90"/>
      <c r="L136" s="96"/>
      <c r="M136" s="96"/>
      <c r="N136" s="96"/>
      <c r="O136" s="96"/>
      <c r="P136" s="96"/>
      <c r="Q136" s="96"/>
    </row>
    <row r="137" spans="1:43" s="19" customFormat="1" ht="30" customHeight="1" x14ac:dyDescent="0.3">
      <c r="A137" s="18">
        <v>135</v>
      </c>
      <c r="B137" s="4">
        <v>2021</v>
      </c>
      <c r="C137" s="6" t="s">
        <v>691</v>
      </c>
      <c r="D137" s="4" t="s">
        <v>237</v>
      </c>
      <c r="E137" s="27" t="s">
        <v>692</v>
      </c>
      <c r="F137" s="4" t="s">
        <v>693</v>
      </c>
      <c r="G137" s="4" t="s">
        <v>694</v>
      </c>
      <c r="H137" s="6" t="s">
        <v>695</v>
      </c>
      <c r="I137" s="131"/>
      <c r="J137" s="122"/>
      <c r="K137" s="90"/>
      <c r="L137" s="96"/>
      <c r="M137" s="96"/>
      <c r="N137" s="96"/>
      <c r="O137" s="96"/>
      <c r="P137" s="96"/>
      <c r="Q137" s="96"/>
    </row>
    <row r="138" spans="1:43" s="19" customFormat="1" ht="30" customHeight="1" x14ac:dyDescent="0.3">
      <c r="A138" s="18">
        <v>136</v>
      </c>
      <c r="B138" s="4">
        <v>2022</v>
      </c>
      <c r="C138" s="6" t="s">
        <v>698</v>
      </c>
      <c r="D138" s="4" t="s">
        <v>237</v>
      </c>
      <c r="E138" s="27" t="s">
        <v>699</v>
      </c>
      <c r="F138" s="4" t="s">
        <v>700</v>
      </c>
      <c r="G138" s="4" t="s">
        <v>121</v>
      </c>
      <c r="H138" s="6" t="s">
        <v>222</v>
      </c>
      <c r="I138" s="131"/>
      <c r="J138" s="122">
        <v>300</v>
      </c>
      <c r="K138" s="90"/>
      <c r="L138" s="96"/>
      <c r="M138" s="96"/>
      <c r="N138" s="96"/>
      <c r="O138" s="96"/>
      <c r="P138" s="96"/>
      <c r="Q138" s="96"/>
    </row>
    <row r="139" spans="1:43" s="19" customFormat="1" ht="30" customHeight="1" x14ac:dyDescent="0.3">
      <c r="A139" s="18">
        <v>137</v>
      </c>
      <c r="B139" s="4">
        <v>2022</v>
      </c>
      <c r="C139" s="6" t="s">
        <v>701</v>
      </c>
      <c r="D139" s="4" t="s">
        <v>237</v>
      </c>
      <c r="E139" s="27" t="s">
        <v>702</v>
      </c>
      <c r="F139" s="4" t="s">
        <v>703</v>
      </c>
      <c r="G139" s="4" t="s">
        <v>760</v>
      </c>
      <c r="H139" s="6" t="s">
        <v>109</v>
      </c>
      <c r="I139" s="131"/>
      <c r="J139" s="122">
        <v>230</v>
      </c>
      <c r="K139" s="90"/>
      <c r="L139" s="96"/>
      <c r="M139" s="96"/>
      <c r="N139" s="96"/>
      <c r="O139" s="96"/>
      <c r="P139" s="96"/>
      <c r="Q139" s="96"/>
    </row>
    <row r="140" spans="1:43" s="19" customFormat="1" ht="30" customHeight="1" x14ac:dyDescent="0.3">
      <c r="A140" s="18"/>
      <c r="B140" s="4"/>
      <c r="C140" s="6"/>
      <c r="D140" s="4"/>
      <c r="E140" s="27"/>
      <c r="F140" s="4"/>
      <c r="G140" s="4"/>
      <c r="H140" s="6"/>
      <c r="I140" s="131"/>
      <c r="J140" s="122"/>
      <c r="K140" s="90"/>
      <c r="L140" s="96"/>
      <c r="M140" s="96"/>
      <c r="N140" s="96"/>
      <c r="O140" s="96"/>
      <c r="P140" s="96"/>
      <c r="Q140" s="96"/>
    </row>
    <row r="141" spans="1:43" s="19" customFormat="1" ht="30" customHeight="1" thickBot="1" x14ac:dyDescent="0.35">
      <c r="A141" s="20"/>
      <c r="B141" s="21"/>
      <c r="C141" s="22"/>
      <c r="D141" s="23"/>
      <c r="E141" s="29"/>
      <c r="F141" s="23"/>
      <c r="G141" s="23"/>
      <c r="H141" s="22"/>
      <c r="I141" s="132"/>
      <c r="J141" s="122"/>
      <c r="K141" s="90"/>
      <c r="L141" s="96"/>
      <c r="M141" s="96"/>
      <c r="N141" s="96"/>
      <c r="O141" s="96"/>
      <c r="P141" s="96"/>
      <c r="Q141" s="96"/>
    </row>
    <row r="142" spans="1:43" ht="30" customHeight="1" x14ac:dyDescent="0.3">
      <c r="A142" s="1"/>
      <c r="B142" s="1"/>
      <c r="C142" s="3"/>
      <c r="H142" s="3"/>
      <c r="I142" s="8"/>
    </row>
    <row r="143" spans="1:43" ht="30" customHeight="1" x14ac:dyDescent="0.3">
      <c r="A143" s="1"/>
      <c r="B143" s="1"/>
      <c r="C143" s="3"/>
      <c r="H143" s="3"/>
      <c r="I143" s="8"/>
    </row>
    <row r="144" spans="1:43" ht="30" customHeight="1" x14ac:dyDescent="0.3">
      <c r="A144" s="1"/>
      <c r="B144" s="1"/>
      <c r="C144" s="3"/>
      <c r="H144" s="3"/>
      <c r="I144" s="8"/>
      <c r="AQ144" s="1">
        <v>1</v>
      </c>
    </row>
    <row r="145" spans="1:9" ht="30" customHeight="1" x14ac:dyDescent="0.3">
      <c r="A145" s="1"/>
      <c r="B145" s="1"/>
      <c r="C145" s="3"/>
      <c r="H145" s="3"/>
      <c r="I145" s="8"/>
    </row>
    <row r="146" spans="1:9" ht="30" customHeight="1" x14ac:dyDescent="0.3">
      <c r="A146" s="1"/>
      <c r="B146" s="1"/>
      <c r="C146" s="3"/>
      <c r="H146" s="3"/>
      <c r="I146" s="8"/>
    </row>
    <row r="147" spans="1:9" ht="30" customHeight="1" x14ac:dyDescent="0.3">
      <c r="A147" s="1"/>
      <c r="B147" s="1"/>
      <c r="C147" s="3"/>
      <c r="H147" s="3"/>
      <c r="I147" s="8"/>
    </row>
    <row r="148" spans="1:9" ht="30" customHeight="1" x14ac:dyDescent="0.3">
      <c r="A148" s="1"/>
      <c r="B148" s="1"/>
      <c r="C148" s="3"/>
      <c r="H148" s="3"/>
      <c r="I148" s="8"/>
    </row>
    <row r="149" spans="1:9" ht="30" customHeight="1" x14ac:dyDescent="0.3">
      <c r="A149" s="1"/>
      <c r="B149" s="1"/>
      <c r="C149" s="3"/>
      <c r="H149" s="3"/>
      <c r="I149" s="8"/>
    </row>
    <row r="150" spans="1:9" ht="30" customHeight="1" x14ac:dyDescent="0.3">
      <c r="A150" s="1"/>
      <c r="B150" s="1"/>
      <c r="C150" s="3"/>
      <c r="H150" s="3"/>
      <c r="I150" s="8"/>
    </row>
    <row r="151" spans="1:9" ht="30" customHeight="1" x14ac:dyDescent="0.3">
      <c r="A151" s="1"/>
      <c r="B151" s="1"/>
      <c r="C151" s="3"/>
      <c r="H151" s="3"/>
      <c r="I151" s="8"/>
    </row>
    <row r="152" spans="1:9" ht="30" customHeight="1" x14ac:dyDescent="0.3">
      <c r="A152" s="1"/>
      <c r="B152" s="1"/>
      <c r="C152" s="3"/>
      <c r="H152" s="3"/>
      <c r="I152" s="8"/>
    </row>
    <row r="153" spans="1:9" ht="30" customHeight="1" x14ac:dyDescent="0.3">
      <c r="A153" s="1"/>
      <c r="B153" s="1"/>
      <c r="C153" s="3"/>
      <c r="H153" s="3"/>
      <c r="I153" s="8"/>
    </row>
    <row r="154" spans="1:9" ht="30" customHeight="1" x14ac:dyDescent="0.3">
      <c r="A154" s="1"/>
      <c r="B154" s="1"/>
      <c r="C154" s="3"/>
      <c r="H154" s="3"/>
      <c r="I154" s="8"/>
    </row>
    <row r="155" spans="1:9" ht="30" customHeight="1" x14ac:dyDescent="0.3">
      <c r="A155" s="1"/>
      <c r="B155" s="1"/>
      <c r="C155" s="3"/>
      <c r="H155" s="3"/>
      <c r="I155" s="8"/>
    </row>
    <row r="156" spans="1:9" ht="30" customHeight="1" x14ac:dyDescent="0.3">
      <c r="A156" s="1"/>
      <c r="B156" s="1"/>
      <c r="C156" s="3"/>
      <c r="H156" s="3"/>
      <c r="I156" s="8"/>
    </row>
    <row r="157" spans="1:9" ht="30" customHeight="1" x14ac:dyDescent="0.3">
      <c r="A157" s="1"/>
      <c r="B157" s="1"/>
      <c r="C157" s="3"/>
      <c r="H157" s="3"/>
      <c r="I157" s="8"/>
    </row>
    <row r="158" spans="1:9" ht="30" customHeight="1" x14ac:dyDescent="0.3">
      <c r="A158" s="1"/>
      <c r="B158" s="1"/>
      <c r="C158" s="3"/>
      <c r="H158" s="3"/>
      <c r="I158" s="8"/>
    </row>
    <row r="159" spans="1:9" ht="30" customHeight="1" x14ac:dyDescent="0.3">
      <c r="A159" s="1"/>
      <c r="B159" s="1"/>
      <c r="C159" s="3"/>
      <c r="H159" s="3"/>
      <c r="I159" s="8"/>
    </row>
    <row r="160" spans="1:9" ht="30" customHeight="1" x14ac:dyDescent="0.3">
      <c r="A160" s="1"/>
      <c r="B160" s="1"/>
      <c r="C160" s="3"/>
      <c r="H160" s="3"/>
      <c r="I160" s="8"/>
    </row>
    <row r="161" spans="1:9" ht="30" customHeight="1" x14ac:dyDescent="0.3">
      <c r="A161" s="1"/>
      <c r="B161" s="1"/>
      <c r="C161" s="3"/>
      <c r="H161" s="3"/>
      <c r="I161" s="8"/>
    </row>
    <row r="162" spans="1:9" ht="30" customHeight="1" x14ac:dyDescent="0.3">
      <c r="A162" s="1"/>
      <c r="B162" s="1"/>
      <c r="C162" s="3"/>
      <c r="H162" s="3"/>
      <c r="I162" s="8"/>
    </row>
    <row r="163" spans="1:9" ht="30" customHeight="1" x14ac:dyDescent="0.3">
      <c r="A163" s="1"/>
      <c r="B163" s="1"/>
      <c r="C163" s="3"/>
      <c r="H163" s="3"/>
      <c r="I163" s="8"/>
    </row>
    <row r="164" spans="1:9" ht="30" customHeight="1" x14ac:dyDescent="0.3">
      <c r="A164" s="1"/>
      <c r="B164" s="1"/>
      <c r="C164" s="3"/>
      <c r="H164" s="3"/>
      <c r="I164" s="8"/>
    </row>
    <row r="165" spans="1:9" ht="30" customHeight="1" x14ac:dyDescent="0.3">
      <c r="A165" s="1"/>
      <c r="B165" s="1"/>
      <c r="C165" s="3"/>
      <c r="H165" s="3"/>
      <c r="I165" s="8"/>
    </row>
    <row r="166" spans="1:9" ht="30" customHeight="1" x14ac:dyDescent="0.3">
      <c r="A166" s="1"/>
      <c r="B166" s="1"/>
      <c r="C166" s="3"/>
      <c r="H166" s="3"/>
      <c r="I166" s="8"/>
    </row>
    <row r="167" spans="1:9" ht="30" customHeight="1" x14ac:dyDescent="0.3">
      <c r="A167" s="1"/>
      <c r="B167" s="1"/>
      <c r="C167" s="3"/>
      <c r="H167" s="3"/>
      <c r="I167" s="8"/>
    </row>
    <row r="168" spans="1:9" ht="30" customHeight="1" x14ac:dyDescent="0.3">
      <c r="A168" s="1"/>
      <c r="B168" s="1"/>
      <c r="C168" s="3"/>
      <c r="H168" s="3"/>
      <c r="I168" s="8"/>
    </row>
    <row r="169" spans="1:9" ht="30" customHeight="1" x14ac:dyDescent="0.3">
      <c r="A169" s="1"/>
      <c r="B169" s="1"/>
      <c r="C169" s="3"/>
      <c r="H169" s="3"/>
      <c r="I169" s="8"/>
    </row>
    <row r="170" spans="1:9" ht="30" customHeight="1" x14ac:dyDescent="0.3">
      <c r="A170" s="1"/>
      <c r="B170" s="1"/>
      <c r="C170" s="3"/>
      <c r="H170" s="3"/>
      <c r="I170" s="8"/>
    </row>
    <row r="171" spans="1:9" ht="30" customHeight="1" x14ac:dyDescent="0.3">
      <c r="A171" s="1"/>
      <c r="B171" s="1"/>
      <c r="C171" s="3"/>
      <c r="H171" s="3"/>
      <c r="I171" s="8"/>
    </row>
    <row r="172" spans="1:9" ht="30" customHeight="1" x14ac:dyDescent="0.3">
      <c r="A172" s="1"/>
      <c r="B172" s="1"/>
      <c r="C172" s="3"/>
      <c r="H172" s="3"/>
      <c r="I172" s="8"/>
    </row>
    <row r="173" spans="1:9" ht="30" customHeight="1" x14ac:dyDescent="0.3">
      <c r="A173" s="1"/>
      <c r="B173" s="1"/>
      <c r="C173" s="3"/>
      <c r="H173" s="3"/>
      <c r="I173" s="8"/>
    </row>
    <row r="174" spans="1:9" ht="30" customHeight="1" x14ac:dyDescent="0.3">
      <c r="A174" s="1"/>
      <c r="B174" s="1"/>
      <c r="C174" s="3"/>
      <c r="H174" s="3"/>
      <c r="I174" s="8"/>
    </row>
    <row r="175" spans="1:9" ht="30" customHeight="1" x14ac:dyDescent="0.3">
      <c r="A175" s="1"/>
      <c r="B175" s="1"/>
      <c r="C175" s="3"/>
      <c r="H175" s="3"/>
      <c r="I175" s="8"/>
    </row>
    <row r="176" spans="1:9" ht="30" customHeight="1" x14ac:dyDescent="0.3">
      <c r="A176" s="1"/>
      <c r="B176" s="1"/>
      <c r="C176" s="3"/>
      <c r="H176" s="3"/>
      <c r="I176" s="8"/>
    </row>
    <row r="177" spans="1:9" ht="30" customHeight="1" x14ac:dyDescent="0.3">
      <c r="A177" s="1"/>
      <c r="B177" s="1"/>
      <c r="C177" s="3"/>
      <c r="H177" s="3"/>
      <c r="I177" s="8"/>
    </row>
    <row r="178" spans="1:9" ht="30" customHeight="1" x14ac:dyDescent="0.3">
      <c r="A178" s="1"/>
      <c r="B178" s="1"/>
      <c r="C178" s="3"/>
      <c r="H178" s="3"/>
      <c r="I178" s="8"/>
    </row>
    <row r="179" spans="1:9" ht="30" customHeight="1" x14ac:dyDescent="0.3">
      <c r="A179" s="1"/>
      <c r="B179" s="1"/>
      <c r="C179" s="3"/>
      <c r="H179" s="3"/>
      <c r="I179" s="8"/>
    </row>
    <row r="180" spans="1:9" ht="30" customHeight="1" x14ac:dyDescent="0.3">
      <c r="A180" s="1"/>
      <c r="B180" s="1"/>
      <c r="C180" s="3"/>
      <c r="H180" s="3"/>
      <c r="I180" s="8"/>
    </row>
    <row r="181" spans="1:9" ht="30" customHeight="1" x14ac:dyDescent="0.3">
      <c r="A181" s="1"/>
      <c r="B181" s="1"/>
      <c r="C181" s="3"/>
      <c r="H181" s="3"/>
      <c r="I181" s="8"/>
    </row>
    <row r="182" spans="1:9" ht="30" customHeight="1" x14ac:dyDescent="0.3">
      <c r="A182" s="1"/>
      <c r="B182" s="1"/>
      <c r="C182" s="3"/>
      <c r="H182" s="3"/>
      <c r="I182" s="8"/>
    </row>
    <row r="183" spans="1:9" ht="30" customHeight="1" x14ac:dyDescent="0.3">
      <c r="A183" s="1"/>
      <c r="B183" s="1"/>
      <c r="C183" s="3"/>
      <c r="H183" s="3"/>
      <c r="I183" s="8"/>
    </row>
    <row r="184" spans="1:9" ht="30" customHeight="1" x14ac:dyDescent="0.3">
      <c r="A184" s="1"/>
      <c r="B184" s="1"/>
      <c r="C184" s="3"/>
      <c r="H184" s="3"/>
      <c r="I184" s="8"/>
    </row>
    <row r="185" spans="1:9" ht="30" customHeight="1" x14ac:dyDescent="0.3">
      <c r="A185" s="1"/>
      <c r="B185" s="1"/>
      <c r="C185" s="3"/>
      <c r="H185" s="3"/>
      <c r="I185" s="8"/>
    </row>
    <row r="186" spans="1:9" ht="30" customHeight="1" x14ac:dyDescent="0.3">
      <c r="A186" s="1"/>
      <c r="B186" s="1"/>
      <c r="C186" s="3"/>
      <c r="H186" s="3"/>
      <c r="I186" s="8"/>
    </row>
    <row r="187" spans="1:9" ht="30" customHeight="1" x14ac:dyDescent="0.3">
      <c r="A187" s="1"/>
      <c r="B187" s="1"/>
      <c r="C187" s="3"/>
      <c r="H187" s="3"/>
      <c r="I187" s="8"/>
    </row>
    <row r="188" spans="1:9" ht="30" customHeight="1" x14ac:dyDescent="0.3">
      <c r="A188" s="1"/>
      <c r="B188" s="1"/>
      <c r="C188" s="3"/>
      <c r="H188" s="3"/>
      <c r="I188" s="8"/>
    </row>
    <row r="189" spans="1:9" ht="30" customHeight="1" x14ac:dyDescent="0.3">
      <c r="A189" s="1"/>
      <c r="B189" s="1"/>
      <c r="C189" s="3"/>
      <c r="H189" s="3"/>
      <c r="I189" s="8"/>
    </row>
    <row r="190" spans="1:9" ht="30" customHeight="1" x14ac:dyDescent="0.3">
      <c r="A190" s="1"/>
      <c r="B190" s="1"/>
      <c r="C190" s="3"/>
      <c r="H190" s="3"/>
      <c r="I190" s="8"/>
    </row>
    <row r="191" spans="1:9" ht="30" customHeight="1" x14ac:dyDescent="0.3">
      <c r="A191" s="1"/>
      <c r="B191" s="1"/>
      <c r="C191" s="3"/>
      <c r="H191" s="3"/>
      <c r="I191" s="8"/>
    </row>
    <row r="192" spans="1:9" ht="30" customHeight="1" x14ac:dyDescent="0.3">
      <c r="A192" s="1"/>
      <c r="B192" s="1"/>
      <c r="C192" s="3"/>
      <c r="H192" s="3"/>
      <c r="I192" s="8"/>
    </row>
    <row r="193" spans="1:9" ht="30" customHeight="1" x14ac:dyDescent="0.3">
      <c r="A193" s="1"/>
      <c r="B193" s="1"/>
      <c r="C193" s="3"/>
      <c r="H193" s="3"/>
      <c r="I193" s="8"/>
    </row>
    <row r="194" spans="1:9" ht="30" customHeight="1" x14ac:dyDescent="0.3">
      <c r="A194" s="1"/>
      <c r="B194" s="1"/>
      <c r="C194" s="3"/>
      <c r="H194" s="3"/>
      <c r="I194" s="8"/>
    </row>
    <row r="195" spans="1:9" ht="30" customHeight="1" x14ac:dyDescent="0.3">
      <c r="A195" s="1"/>
      <c r="B195" s="1"/>
      <c r="C195" s="3"/>
      <c r="H195" s="3"/>
      <c r="I195" s="8"/>
    </row>
    <row r="196" spans="1:9" ht="30" customHeight="1" x14ac:dyDescent="0.3">
      <c r="A196" s="1"/>
      <c r="B196" s="1"/>
      <c r="C196" s="3"/>
      <c r="H196" s="3"/>
      <c r="I196" s="8"/>
    </row>
    <row r="197" spans="1:9" ht="30" customHeight="1" x14ac:dyDescent="0.3">
      <c r="A197" s="1"/>
      <c r="B197" s="1"/>
      <c r="C197" s="3"/>
      <c r="H197" s="3"/>
      <c r="I197" s="8"/>
    </row>
    <row r="198" spans="1:9" ht="30" customHeight="1" x14ac:dyDescent="0.3">
      <c r="A198" s="1"/>
      <c r="B198" s="1"/>
      <c r="C198" s="3"/>
      <c r="H198" s="3"/>
      <c r="I198" s="8"/>
    </row>
    <row r="199" spans="1:9" ht="30" customHeight="1" x14ac:dyDescent="0.3">
      <c r="A199" s="1"/>
      <c r="B199" s="1"/>
      <c r="C199" s="3"/>
      <c r="H199" s="3"/>
      <c r="I199" s="8"/>
    </row>
  </sheetData>
  <autoFilter ref="A2:I139" xr:uid="{00000000-0009-0000-0000-000001000000}">
    <sortState xmlns:xlrd2="http://schemas.microsoft.com/office/spreadsheetml/2017/richdata2" ref="A3:I127">
      <sortCondition ref="C2:C127"/>
    </sortState>
  </autoFilter>
  <mergeCells count="1">
    <mergeCell ref="H1:I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66" orientation="portrait" r:id="rId1"/>
  <headerFooter>
    <oddHeader>&amp;C&amp;"굴림,굵게"&amp;18어린이 보호구역 지정·관리 현황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4E74-FAD6-4E95-80DA-75951F9B8E23}">
  <dimension ref="A1:Q96"/>
  <sheetViews>
    <sheetView view="pageBreakPreview" zoomScaleNormal="100" zoomScaleSheetLayoutView="100" workbookViewId="0">
      <selection activeCell="I12" sqref="I12"/>
    </sheetView>
  </sheetViews>
  <sheetFormatPr defaultRowHeight="12" x14ac:dyDescent="0.3"/>
  <cols>
    <col min="1" max="1" width="6.625" style="2" customWidth="1"/>
    <col min="2" max="2" width="8.875" style="2" customWidth="1"/>
    <col min="3" max="3" width="11" style="2" customWidth="1"/>
    <col min="4" max="5" width="16.375" style="2" customWidth="1"/>
    <col min="6" max="6" width="23.125" style="2" customWidth="1"/>
    <col min="7" max="8" width="9" style="2"/>
    <col min="9" max="9" width="20.375" style="7" customWidth="1"/>
    <col min="10" max="10" width="9" style="1"/>
    <col min="11" max="11" width="19.375" style="2" customWidth="1"/>
    <col min="12" max="16384" width="9" style="1"/>
  </cols>
  <sheetData>
    <row r="1" spans="1:17" ht="24.95" customHeight="1" thickBot="1" x14ac:dyDescent="0.35">
      <c r="H1" s="107" t="s">
        <v>757</v>
      </c>
      <c r="I1" s="107"/>
    </row>
    <row r="2" spans="1:17" s="5" customFormat="1" ht="35.1" customHeight="1" thickBot="1" x14ac:dyDescent="0.35">
      <c r="A2" s="81" t="s">
        <v>0</v>
      </c>
      <c r="B2" s="80" t="s">
        <v>7</v>
      </c>
      <c r="C2" s="80" t="s">
        <v>1</v>
      </c>
      <c r="D2" s="80" t="s">
        <v>2</v>
      </c>
      <c r="E2" s="80" t="s">
        <v>3</v>
      </c>
      <c r="F2" s="80" t="s">
        <v>6</v>
      </c>
      <c r="G2" s="80" t="s">
        <v>4</v>
      </c>
      <c r="H2" s="80" t="s">
        <v>5</v>
      </c>
      <c r="I2" s="79" t="s">
        <v>8</v>
      </c>
      <c r="J2" s="84" t="s">
        <v>673</v>
      </c>
      <c r="K2" s="85" t="s">
        <v>674</v>
      </c>
      <c r="L2" s="84" t="s">
        <v>675</v>
      </c>
      <c r="M2" s="102" t="s">
        <v>681</v>
      </c>
      <c r="N2" s="84" t="s">
        <v>677</v>
      </c>
      <c r="O2" s="84" t="s">
        <v>678</v>
      </c>
      <c r="P2" s="84" t="s">
        <v>679</v>
      </c>
      <c r="Q2" s="84" t="s">
        <v>680</v>
      </c>
    </row>
    <row r="3" spans="1:17" ht="30" customHeight="1" x14ac:dyDescent="0.3">
      <c r="A3" s="9">
        <v>1</v>
      </c>
      <c r="B3" s="10">
        <v>2008</v>
      </c>
      <c r="C3" s="11" t="s">
        <v>667</v>
      </c>
      <c r="D3" s="10" t="s">
        <v>608</v>
      </c>
      <c r="E3" s="10" t="s">
        <v>666</v>
      </c>
      <c r="F3" s="10" t="s">
        <v>665</v>
      </c>
      <c r="G3" s="10" t="s">
        <v>25</v>
      </c>
      <c r="H3" s="11" t="s">
        <v>664</v>
      </c>
      <c r="I3" s="78"/>
      <c r="J3" s="86">
        <v>600</v>
      </c>
      <c r="K3" s="87">
        <v>3</v>
      </c>
      <c r="L3" s="86">
        <v>13</v>
      </c>
      <c r="M3" s="86"/>
      <c r="N3" s="86">
        <v>7</v>
      </c>
      <c r="O3" s="86">
        <v>1</v>
      </c>
      <c r="P3" s="86"/>
      <c r="Q3" s="86"/>
    </row>
    <row r="4" spans="1:17" ht="30" customHeight="1" x14ac:dyDescent="0.3">
      <c r="A4" s="12">
        <v>2</v>
      </c>
      <c r="B4" s="13">
        <v>2009</v>
      </c>
      <c r="C4" s="14" t="s">
        <v>663</v>
      </c>
      <c r="D4" s="13" t="s">
        <v>608</v>
      </c>
      <c r="E4" s="13" t="s">
        <v>662</v>
      </c>
      <c r="F4" s="13" t="s">
        <v>661</v>
      </c>
      <c r="G4" s="13" t="s">
        <v>60</v>
      </c>
      <c r="H4" s="14" t="s">
        <v>660</v>
      </c>
      <c r="I4" s="77"/>
      <c r="J4" s="86">
        <v>130</v>
      </c>
      <c r="K4" s="87"/>
      <c r="L4" s="86">
        <v>2</v>
      </c>
      <c r="M4" s="86">
        <v>2</v>
      </c>
      <c r="N4" s="86">
        <v>3</v>
      </c>
      <c r="O4" s="86"/>
      <c r="P4" s="86">
        <v>118</v>
      </c>
      <c r="Q4" s="86"/>
    </row>
    <row r="5" spans="1:17" ht="30" customHeight="1" x14ac:dyDescent="0.3">
      <c r="A5" s="12">
        <v>3</v>
      </c>
      <c r="B5" s="13">
        <v>2010</v>
      </c>
      <c r="C5" s="14" t="s">
        <v>659</v>
      </c>
      <c r="D5" s="13" t="s">
        <v>608</v>
      </c>
      <c r="E5" s="13" t="s">
        <v>658</v>
      </c>
      <c r="F5" s="13" t="s">
        <v>657</v>
      </c>
      <c r="G5" s="13" t="s">
        <v>41</v>
      </c>
      <c r="H5" s="14" t="s">
        <v>656</v>
      </c>
      <c r="I5" s="77"/>
      <c r="J5" s="86">
        <v>230</v>
      </c>
      <c r="K5" s="87">
        <v>1</v>
      </c>
      <c r="L5" s="86">
        <v>3</v>
      </c>
      <c r="M5" s="86"/>
      <c r="N5" s="86"/>
      <c r="O5" s="86"/>
      <c r="P5" s="86">
        <v>290</v>
      </c>
      <c r="Q5" s="86">
        <v>150</v>
      </c>
    </row>
    <row r="6" spans="1:17" ht="30" customHeight="1" x14ac:dyDescent="0.3">
      <c r="A6" s="12">
        <v>4</v>
      </c>
      <c r="B6" s="13">
        <v>2012</v>
      </c>
      <c r="C6" s="14" t="s">
        <v>655</v>
      </c>
      <c r="D6" s="13" t="s">
        <v>608</v>
      </c>
      <c r="E6" s="13" t="s">
        <v>654</v>
      </c>
      <c r="F6" s="13" t="s">
        <v>653</v>
      </c>
      <c r="G6" s="13" t="s">
        <v>60</v>
      </c>
      <c r="H6" s="14" t="s">
        <v>652</v>
      </c>
      <c r="I6" s="77"/>
      <c r="J6" s="86">
        <v>290</v>
      </c>
      <c r="K6" s="87">
        <v>11</v>
      </c>
      <c r="L6" s="86">
        <v>9</v>
      </c>
      <c r="M6" s="86"/>
      <c r="N6" s="86">
        <v>2</v>
      </c>
      <c r="O6" s="86">
        <v>3</v>
      </c>
      <c r="P6" s="86">
        <v>120</v>
      </c>
      <c r="Q6" s="86">
        <v>33</v>
      </c>
    </row>
    <row r="7" spans="1:17" s="74" customFormat="1" ht="30" customHeight="1" x14ac:dyDescent="0.3">
      <c r="A7" s="12">
        <v>5</v>
      </c>
      <c r="B7" s="13">
        <v>2020</v>
      </c>
      <c r="C7" s="14" t="s">
        <v>651</v>
      </c>
      <c r="D7" s="10" t="s">
        <v>608</v>
      </c>
      <c r="E7" s="13" t="s">
        <v>650</v>
      </c>
      <c r="F7" s="13" t="s">
        <v>649</v>
      </c>
      <c r="G7" s="13" t="s">
        <v>88</v>
      </c>
      <c r="H7" s="14" t="s">
        <v>648</v>
      </c>
      <c r="I7" s="77"/>
      <c r="J7" s="74">
        <f>SUM(J3:J6)</f>
        <v>1250</v>
      </c>
      <c r="K7" s="74">
        <f t="shared" ref="K7:Q7" si="0">SUM(K3:K6)</f>
        <v>15</v>
      </c>
      <c r="L7" s="74">
        <f t="shared" si="0"/>
        <v>27</v>
      </c>
      <c r="M7" s="74">
        <f t="shared" si="0"/>
        <v>2</v>
      </c>
      <c r="N7" s="74">
        <f t="shared" si="0"/>
        <v>12</v>
      </c>
      <c r="O7" s="74">
        <f t="shared" si="0"/>
        <v>4</v>
      </c>
      <c r="P7" s="74">
        <f t="shared" si="0"/>
        <v>528</v>
      </c>
      <c r="Q7" s="74">
        <f t="shared" si="0"/>
        <v>183</v>
      </c>
    </row>
    <row r="8" spans="1:17" ht="30" customHeight="1" x14ac:dyDescent="0.3">
      <c r="A8" s="12">
        <v>6</v>
      </c>
      <c r="B8" s="13">
        <v>2020</v>
      </c>
      <c r="C8" s="14" t="s">
        <v>647</v>
      </c>
      <c r="D8" s="10" t="s">
        <v>608</v>
      </c>
      <c r="E8" s="13" t="s">
        <v>646</v>
      </c>
      <c r="F8" s="13" t="s">
        <v>645</v>
      </c>
      <c r="G8" s="13" t="s">
        <v>17</v>
      </c>
      <c r="H8" s="14" t="s">
        <v>644</v>
      </c>
      <c r="I8" s="77"/>
    </row>
    <row r="9" spans="1:17" ht="30" customHeight="1" x14ac:dyDescent="0.3">
      <c r="A9" s="12">
        <v>7</v>
      </c>
      <c r="B9" s="13">
        <v>2020</v>
      </c>
      <c r="C9" s="14" t="s">
        <v>643</v>
      </c>
      <c r="D9" s="10" t="s">
        <v>608</v>
      </c>
      <c r="E9" s="13" t="s">
        <v>642</v>
      </c>
      <c r="F9" s="13" t="s">
        <v>641</v>
      </c>
      <c r="G9" s="13" t="s">
        <v>113</v>
      </c>
      <c r="H9" s="14" t="s">
        <v>640</v>
      </c>
      <c r="I9" s="77"/>
    </row>
    <row r="10" spans="1:17" ht="30" customHeight="1" x14ac:dyDescent="0.3">
      <c r="A10" s="12">
        <v>8</v>
      </c>
      <c r="B10" s="13">
        <v>2020</v>
      </c>
      <c r="C10" s="14" t="s">
        <v>639</v>
      </c>
      <c r="D10" s="10" t="s">
        <v>608</v>
      </c>
      <c r="E10" s="13" t="s">
        <v>638</v>
      </c>
      <c r="F10" s="13" t="s">
        <v>637</v>
      </c>
      <c r="G10" s="13" t="s">
        <v>17</v>
      </c>
      <c r="H10" s="14" t="s">
        <v>636</v>
      </c>
      <c r="I10" s="77"/>
    </row>
    <row r="11" spans="1:17" ht="30" customHeight="1" x14ac:dyDescent="0.3">
      <c r="A11" s="12">
        <v>9</v>
      </c>
      <c r="B11" s="13">
        <v>2020</v>
      </c>
      <c r="C11" s="14" t="s">
        <v>635</v>
      </c>
      <c r="D11" s="10" t="s">
        <v>608</v>
      </c>
      <c r="E11" s="13" t="s">
        <v>634</v>
      </c>
      <c r="F11" s="13" t="s">
        <v>633</v>
      </c>
      <c r="G11" s="13" t="s">
        <v>117</v>
      </c>
      <c r="H11" s="14" t="s">
        <v>632</v>
      </c>
      <c r="I11" s="77"/>
    </row>
    <row r="12" spans="1:17" ht="30" customHeight="1" x14ac:dyDescent="0.3">
      <c r="A12" s="12">
        <v>10</v>
      </c>
      <c r="B12" s="13">
        <v>2020</v>
      </c>
      <c r="C12" s="14" t="s">
        <v>631</v>
      </c>
      <c r="D12" s="10" t="s">
        <v>608</v>
      </c>
      <c r="E12" s="13" t="s">
        <v>630</v>
      </c>
      <c r="F12" s="13" t="s">
        <v>629</v>
      </c>
      <c r="G12" s="13" t="s">
        <v>11</v>
      </c>
      <c r="H12" s="14" t="s">
        <v>628</v>
      </c>
      <c r="I12" s="77"/>
    </row>
    <row r="13" spans="1:17" ht="30" customHeight="1" x14ac:dyDescent="0.3">
      <c r="A13" s="12">
        <v>11</v>
      </c>
      <c r="B13" s="13">
        <v>2022</v>
      </c>
      <c r="C13" s="14" t="s">
        <v>704</v>
      </c>
      <c r="D13" s="13" t="s">
        <v>608</v>
      </c>
      <c r="E13" s="13" t="s">
        <v>705</v>
      </c>
      <c r="F13" s="13" t="s">
        <v>706</v>
      </c>
      <c r="G13" s="13" t="s">
        <v>64</v>
      </c>
      <c r="H13" s="14"/>
      <c r="I13" s="77"/>
      <c r="J13" s="1">
        <v>215</v>
      </c>
    </row>
    <row r="14" spans="1:17" ht="30" customHeight="1" x14ac:dyDescent="0.3">
      <c r="A14" s="12">
        <v>12</v>
      </c>
      <c r="B14" s="13">
        <v>2022</v>
      </c>
      <c r="C14" s="14" t="s">
        <v>707</v>
      </c>
      <c r="D14" s="13" t="s">
        <v>608</v>
      </c>
      <c r="E14" s="13" t="s">
        <v>708</v>
      </c>
      <c r="F14" s="13" t="s">
        <v>709</v>
      </c>
      <c r="G14" s="13"/>
      <c r="H14" s="14"/>
      <c r="I14" s="77"/>
      <c r="J14" s="1">
        <v>125</v>
      </c>
    </row>
    <row r="15" spans="1:17" ht="30" customHeight="1" x14ac:dyDescent="0.3">
      <c r="A15" s="12">
        <v>13</v>
      </c>
      <c r="B15" s="13">
        <v>2022</v>
      </c>
      <c r="C15" s="14" t="s">
        <v>710</v>
      </c>
      <c r="D15" s="13" t="s">
        <v>608</v>
      </c>
      <c r="E15" s="13" t="s">
        <v>711</v>
      </c>
      <c r="F15" s="13" t="s">
        <v>712</v>
      </c>
      <c r="G15" s="13" t="s">
        <v>60</v>
      </c>
      <c r="H15" s="14"/>
      <c r="I15" s="77"/>
      <c r="J15" s="1">
        <v>174</v>
      </c>
    </row>
    <row r="16" spans="1:17" s="74" customFormat="1" ht="30" customHeight="1" x14ac:dyDescent="0.3">
      <c r="A16" s="12">
        <v>14</v>
      </c>
      <c r="B16" s="13">
        <v>2022</v>
      </c>
      <c r="C16" s="14" t="s">
        <v>713</v>
      </c>
      <c r="D16" s="13" t="s">
        <v>608</v>
      </c>
      <c r="E16" s="13" t="s">
        <v>714</v>
      </c>
      <c r="F16" s="13" t="s">
        <v>715</v>
      </c>
      <c r="G16" s="13" t="s">
        <v>716</v>
      </c>
      <c r="H16" s="14"/>
      <c r="I16" s="77"/>
      <c r="J16" s="74">
        <v>88</v>
      </c>
      <c r="K16" s="75"/>
    </row>
    <row r="17" spans="1:11" ht="30" customHeight="1" x14ac:dyDescent="0.3">
      <c r="A17" s="12">
        <v>15</v>
      </c>
      <c r="B17" s="13">
        <v>2022</v>
      </c>
      <c r="C17" s="14" t="s">
        <v>717</v>
      </c>
      <c r="D17" s="13" t="s">
        <v>608</v>
      </c>
      <c r="E17" s="13" t="s">
        <v>718</v>
      </c>
      <c r="F17" s="13" t="s">
        <v>719</v>
      </c>
      <c r="G17" s="13"/>
      <c r="H17" s="14"/>
      <c r="I17" s="77"/>
      <c r="J17" s="1">
        <v>372</v>
      </c>
    </row>
    <row r="18" spans="1:11" ht="30" customHeight="1" x14ac:dyDescent="0.3">
      <c r="A18" s="12">
        <v>16</v>
      </c>
      <c r="B18" s="13">
        <v>2022</v>
      </c>
      <c r="C18" s="14" t="s">
        <v>720</v>
      </c>
      <c r="D18" s="13" t="s">
        <v>608</v>
      </c>
      <c r="E18" s="13" t="s">
        <v>721</v>
      </c>
      <c r="F18" s="13" t="s">
        <v>722</v>
      </c>
      <c r="G18" s="13" t="s">
        <v>41</v>
      </c>
      <c r="H18" s="14"/>
      <c r="I18" s="77"/>
      <c r="J18" s="1">
        <v>112</v>
      </c>
    </row>
    <row r="19" spans="1:11" ht="30" customHeight="1" x14ac:dyDescent="0.3">
      <c r="A19" s="12">
        <v>17</v>
      </c>
      <c r="B19" s="13">
        <v>2022</v>
      </c>
      <c r="C19" s="14" t="s">
        <v>723</v>
      </c>
      <c r="D19" s="13" t="s">
        <v>608</v>
      </c>
      <c r="E19" s="105" t="s">
        <v>724</v>
      </c>
      <c r="F19" s="13" t="s">
        <v>727</v>
      </c>
      <c r="G19" s="13"/>
      <c r="H19" s="14"/>
      <c r="I19" s="76"/>
      <c r="J19" s="1">
        <v>116</v>
      </c>
    </row>
    <row r="20" spans="1:11" ht="30" customHeight="1" x14ac:dyDescent="0.3">
      <c r="A20" s="12">
        <v>18</v>
      </c>
      <c r="B20" s="13">
        <v>2022</v>
      </c>
      <c r="C20" s="14" t="s">
        <v>725</v>
      </c>
      <c r="D20" s="13" t="s">
        <v>608</v>
      </c>
      <c r="E20" s="13" t="s">
        <v>726</v>
      </c>
      <c r="F20" s="13" t="s">
        <v>728</v>
      </c>
      <c r="G20" s="13"/>
      <c r="H20" s="14"/>
      <c r="I20" s="77"/>
      <c r="J20" s="1">
        <v>250</v>
      </c>
    </row>
    <row r="21" spans="1:11" ht="30" customHeight="1" x14ac:dyDescent="0.3">
      <c r="A21" s="12">
        <v>19</v>
      </c>
      <c r="B21" s="13">
        <v>2022</v>
      </c>
      <c r="C21" s="14" t="s">
        <v>729</v>
      </c>
      <c r="D21" s="13" t="s">
        <v>608</v>
      </c>
      <c r="E21" s="13" t="s">
        <v>730</v>
      </c>
      <c r="F21" s="13" t="s">
        <v>731</v>
      </c>
      <c r="G21" s="13"/>
      <c r="H21" s="14"/>
      <c r="I21" s="76"/>
      <c r="J21" s="1">
        <v>407</v>
      </c>
    </row>
    <row r="22" spans="1:11" ht="30" customHeight="1" x14ac:dyDescent="0.3">
      <c r="A22" s="12">
        <v>20</v>
      </c>
      <c r="B22" s="13">
        <v>2022</v>
      </c>
      <c r="C22" s="14" t="s">
        <v>732</v>
      </c>
      <c r="D22" s="13" t="s">
        <v>608</v>
      </c>
      <c r="E22" s="13" t="s">
        <v>733</v>
      </c>
      <c r="F22" s="13" t="s">
        <v>734</v>
      </c>
      <c r="G22" s="13"/>
      <c r="H22" s="14"/>
      <c r="I22" s="76"/>
      <c r="J22" s="1">
        <v>202</v>
      </c>
    </row>
    <row r="23" spans="1:11" ht="30" customHeight="1" x14ac:dyDescent="0.3">
      <c r="A23" s="12">
        <v>21</v>
      </c>
      <c r="B23" s="13">
        <v>2022</v>
      </c>
      <c r="C23" s="14" t="s">
        <v>735</v>
      </c>
      <c r="D23" s="13" t="s">
        <v>608</v>
      </c>
      <c r="E23" s="13" t="s">
        <v>736</v>
      </c>
      <c r="F23" s="13" t="s">
        <v>737</v>
      </c>
      <c r="G23" s="13"/>
      <c r="H23" s="14"/>
      <c r="I23" s="77"/>
      <c r="J23" s="1">
        <v>117</v>
      </c>
    </row>
    <row r="24" spans="1:11" ht="30" customHeight="1" x14ac:dyDescent="0.3">
      <c r="A24" s="12">
        <v>22</v>
      </c>
      <c r="B24" s="13">
        <v>2022</v>
      </c>
      <c r="C24" s="14" t="s">
        <v>738</v>
      </c>
      <c r="D24" s="13" t="s">
        <v>608</v>
      </c>
      <c r="E24" s="13" t="s">
        <v>739</v>
      </c>
      <c r="F24" s="13" t="s">
        <v>740</v>
      </c>
      <c r="G24" s="13"/>
      <c r="H24" s="14"/>
      <c r="I24" s="77"/>
      <c r="J24" s="1">
        <v>301</v>
      </c>
    </row>
    <row r="25" spans="1:11" ht="30" customHeight="1" x14ac:dyDescent="0.3">
      <c r="A25" s="12">
        <v>23</v>
      </c>
      <c r="B25" s="13">
        <v>2022</v>
      </c>
      <c r="C25" s="14" t="s">
        <v>741</v>
      </c>
      <c r="D25" s="13" t="s">
        <v>611</v>
      </c>
      <c r="E25" s="13" t="s">
        <v>742</v>
      </c>
      <c r="F25" s="13" t="s">
        <v>743</v>
      </c>
      <c r="G25" s="13"/>
      <c r="H25" s="14"/>
      <c r="I25" s="77"/>
      <c r="J25" s="1">
        <v>243</v>
      </c>
    </row>
    <row r="26" spans="1:11" ht="30" customHeight="1" x14ac:dyDescent="0.3">
      <c r="A26" s="12">
        <v>24</v>
      </c>
      <c r="B26" s="13">
        <v>2022</v>
      </c>
      <c r="C26" s="14" t="s">
        <v>744</v>
      </c>
      <c r="D26" s="13" t="s">
        <v>611</v>
      </c>
      <c r="E26" s="13" t="s">
        <v>745</v>
      </c>
      <c r="F26" s="13" t="s">
        <v>746</v>
      </c>
      <c r="G26" s="13"/>
      <c r="H26" s="14"/>
      <c r="I26" s="77"/>
      <c r="J26" s="1">
        <v>305</v>
      </c>
    </row>
    <row r="27" spans="1:11" ht="30" customHeight="1" x14ac:dyDescent="0.3">
      <c r="A27" s="12">
        <v>25</v>
      </c>
      <c r="B27" s="13">
        <v>2022</v>
      </c>
      <c r="C27" s="14" t="s">
        <v>747</v>
      </c>
      <c r="D27" s="13" t="s">
        <v>611</v>
      </c>
      <c r="E27" s="13" t="s">
        <v>748</v>
      </c>
      <c r="F27" s="13" t="s">
        <v>749</v>
      </c>
      <c r="G27" s="13"/>
      <c r="H27" s="14"/>
      <c r="I27" s="77"/>
      <c r="J27" s="1">
        <v>173</v>
      </c>
    </row>
    <row r="28" spans="1:11" ht="30" customHeight="1" x14ac:dyDescent="0.3">
      <c r="A28" s="12">
        <v>26</v>
      </c>
      <c r="B28" s="13">
        <v>2022</v>
      </c>
      <c r="C28" s="14" t="s">
        <v>750</v>
      </c>
      <c r="D28" s="13" t="s">
        <v>611</v>
      </c>
      <c r="E28" s="13" t="s">
        <v>751</v>
      </c>
      <c r="F28" s="13" t="s">
        <v>752</v>
      </c>
      <c r="G28" s="13"/>
      <c r="H28" s="14"/>
      <c r="I28" s="77"/>
      <c r="J28" s="1">
        <v>329</v>
      </c>
    </row>
    <row r="29" spans="1:11" ht="30" customHeight="1" x14ac:dyDescent="0.3">
      <c r="A29" s="12">
        <v>27</v>
      </c>
      <c r="B29" s="13">
        <v>2022</v>
      </c>
      <c r="C29" s="14" t="s">
        <v>753</v>
      </c>
      <c r="D29" s="13" t="s">
        <v>611</v>
      </c>
      <c r="E29" s="13" t="s">
        <v>754</v>
      </c>
      <c r="F29" s="13" t="s">
        <v>755</v>
      </c>
      <c r="G29" s="13" t="s">
        <v>60</v>
      </c>
      <c r="H29" s="14" t="s">
        <v>756</v>
      </c>
      <c r="I29" s="77"/>
      <c r="J29" s="1">
        <v>226</v>
      </c>
    </row>
    <row r="30" spans="1:11" ht="30" customHeight="1" x14ac:dyDescent="0.3">
      <c r="A30" s="12"/>
      <c r="B30" s="13"/>
      <c r="C30" s="14"/>
      <c r="D30" s="13"/>
      <c r="E30" s="13"/>
      <c r="F30" s="13"/>
      <c r="G30" s="13"/>
      <c r="H30" s="14"/>
      <c r="I30" s="77"/>
    </row>
    <row r="31" spans="1:11" s="74" customFormat="1" ht="30" customHeight="1" x14ac:dyDescent="0.3">
      <c r="A31" s="12"/>
      <c r="B31" s="13"/>
      <c r="C31" s="14"/>
      <c r="D31" s="13"/>
      <c r="E31" s="13"/>
      <c r="F31" s="13"/>
      <c r="G31" s="13"/>
      <c r="H31" s="14"/>
      <c r="I31" s="76"/>
      <c r="K31" s="75"/>
    </row>
    <row r="32" spans="1:11" ht="30" customHeight="1" thickBot="1" x14ac:dyDescent="0.35">
      <c r="A32" s="73"/>
      <c r="B32" s="72"/>
      <c r="C32" s="71"/>
      <c r="D32" s="72"/>
      <c r="E32" s="72"/>
      <c r="F32" s="72"/>
      <c r="G32" s="72"/>
      <c r="H32" s="71"/>
      <c r="I32" s="70"/>
    </row>
    <row r="33" spans="1:9" ht="30" customHeight="1" x14ac:dyDescent="0.3">
      <c r="C33" s="3"/>
      <c r="H33" s="3"/>
    </row>
    <row r="34" spans="1:9" ht="30" customHeight="1" x14ac:dyDescent="0.3">
      <c r="C34" s="3"/>
      <c r="H34" s="3"/>
    </row>
    <row r="35" spans="1:9" ht="30" customHeight="1" x14ac:dyDescent="0.3">
      <c r="C35" s="3"/>
      <c r="H35" s="3"/>
    </row>
    <row r="36" spans="1:9" ht="30" customHeight="1" x14ac:dyDescent="0.3">
      <c r="C36" s="3"/>
      <c r="H36" s="3"/>
    </row>
    <row r="37" spans="1:9" ht="30" customHeight="1" x14ac:dyDescent="0.3">
      <c r="C37" s="3"/>
      <c r="H37" s="3"/>
    </row>
    <row r="38" spans="1:9" ht="30" customHeight="1" x14ac:dyDescent="0.3">
      <c r="A38" s="1"/>
      <c r="B38" s="1"/>
      <c r="C38" s="3"/>
      <c r="H38" s="3"/>
      <c r="I38" s="8"/>
    </row>
    <row r="39" spans="1:9" ht="30" customHeight="1" x14ac:dyDescent="0.3">
      <c r="A39" s="1"/>
      <c r="B39" s="1"/>
      <c r="C39" s="3"/>
      <c r="H39" s="3"/>
      <c r="I39" s="8"/>
    </row>
    <row r="40" spans="1:9" ht="30" customHeight="1" x14ac:dyDescent="0.3">
      <c r="A40" s="1"/>
      <c r="B40" s="1"/>
      <c r="C40" s="3"/>
      <c r="H40" s="3"/>
      <c r="I40" s="8"/>
    </row>
    <row r="41" spans="1:9" ht="30" customHeight="1" x14ac:dyDescent="0.3">
      <c r="A41" s="1"/>
      <c r="B41" s="1"/>
      <c r="C41" s="3"/>
      <c r="H41" s="3"/>
      <c r="I41" s="8"/>
    </row>
    <row r="42" spans="1:9" ht="30" customHeight="1" x14ac:dyDescent="0.3">
      <c r="A42" s="1"/>
      <c r="B42" s="1"/>
      <c r="C42" s="3"/>
      <c r="H42" s="3"/>
      <c r="I42" s="8"/>
    </row>
    <row r="43" spans="1:9" ht="30" customHeight="1" x14ac:dyDescent="0.3">
      <c r="A43" s="1"/>
      <c r="B43" s="1"/>
      <c r="C43" s="3"/>
      <c r="H43" s="3"/>
      <c r="I43" s="8"/>
    </row>
    <row r="44" spans="1:9" ht="30" customHeight="1" x14ac:dyDescent="0.3">
      <c r="A44" s="1"/>
      <c r="B44" s="1"/>
      <c r="C44" s="3"/>
      <c r="H44" s="3"/>
      <c r="I44" s="8"/>
    </row>
    <row r="45" spans="1:9" ht="30" customHeight="1" x14ac:dyDescent="0.3">
      <c r="A45" s="1"/>
      <c r="B45" s="1"/>
      <c r="C45" s="3"/>
      <c r="H45" s="3"/>
      <c r="I45" s="8"/>
    </row>
    <row r="46" spans="1:9" ht="30" customHeight="1" x14ac:dyDescent="0.3">
      <c r="A46" s="1"/>
      <c r="B46" s="1"/>
      <c r="C46" s="3"/>
      <c r="H46" s="3"/>
      <c r="I46" s="8"/>
    </row>
    <row r="47" spans="1:9" ht="30" customHeight="1" x14ac:dyDescent="0.3">
      <c r="A47" s="1"/>
      <c r="B47" s="1"/>
      <c r="C47" s="3"/>
      <c r="H47" s="3"/>
      <c r="I47" s="8"/>
    </row>
    <row r="48" spans="1:9" ht="30" customHeight="1" x14ac:dyDescent="0.3">
      <c r="A48" s="1"/>
      <c r="B48" s="1"/>
      <c r="C48" s="3"/>
      <c r="H48" s="3"/>
      <c r="I48" s="8"/>
    </row>
    <row r="49" spans="1:9" ht="30" customHeight="1" x14ac:dyDescent="0.3">
      <c r="A49" s="1"/>
      <c r="B49" s="1"/>
      <c r="C49" s="3"/>
      <c r="H49" s="3"/>
      <c r="I49" s="8"/>
    </row>
    <row r="50" spans="1:9" ht="30" customHeight="1" x14ac:dyDescent="0.3">
      <c r="A50" s="1"/>
      <c r="B50" s="1"/>
      <c r="C50" s="3"/>
      <c r="H50" s="3"/>
      <c r="I50" s="8"/>
    </row>
    <row r="51" spans="1:9" ht="30" customHeight="1" x14ac:dyDescent="0.3">
      <c r="A51" s="1"/>
      <c r="B51" s="1"/>
      <c r="C51" s="3"/>
      <c r="H51" s="3"/>
      <c r="I51" s="8"/>
    </row>
    <row r="52" spans="1:9" ht="30" customHeight="1" x14ac:dyDescent="0.3">
      <c r="A52" s="1"/>
      <c r="B52" s="1"/>
      <c r="C52" s="3"/>
      <c r="H52" s="3"/>
      <c r="I52" s="8"/>
    </row>
    <row r="53" spans="1:9" ht="30" customHeight="1" x14ac:dyDescent="0.3">
      <c r="A53" s="1"/>
      <c r="B53" s="1"/>
      <c r="C53" s="3"/>
      <c r="H53" s="3"/>
      <c r="I53" s="8"/>
    </row>
    <row r="54" spans="1:9" ht="30" customHeight="1" x14ac:dyDescent="0.3">
      <c r="A54" s="1"/>
      <c r="B54" s="1"/>
      <c r="C54" s="3"/>
      <c r="H54" s="3"/>
      <c r="I54" s="8"/>
    </row>
    <row r="55" spans="1:9" ht="30" customHeight="1" x14ac:dyDescent="0.3">
      <c r="A55" s="1"/>
      <c r="B55" s="1"/>
      <c r="C55" s="3"/>
      <c r="H55" s="3"/>
      <c r="I55" s="8"/>
    </row>
    <row r="56" spans="1:9" ht="30" customHeight="1" x14ac:dyDescent="0.3">
      <c r="A56" s="1"/>
      <c r="B56" s="1"/>
      <c r="C56" s="3"/>
      <c r="H56" s="3"/>
      <c r="I56" s="8"/>
    </row>
    <row r="57" spans="1:9" ht="30" customHeight="1" x14ac:dyDescent="0.3">
      <c r="A57" s="1"/>
      <c r="B57" s="1"/>
      <c r="C57" s="3"/>
      <c r="H57" s="3"/>
      <c r="I57" s="8"/>
    </row>
    <row r="58" spans="1:9" ht="30" customHeight="1" x14ac:dyDescent="0.3">
      <c r="A58" s="1"/>
      <c r="B58" s="1"/>
      <c r="C58" s="3"/>
      <c r="H58" s="3"/>
      <c r="I58" s="8"/>
    </row>
    <row r="59" spans="1:9" ht="30" customHeight="1" x14ac:dyDescent="0.3">
      <c r="A59" s="1"/>
      <c r="B59" s="1"/>
      <c r="C59" s="3"/>
      <c r="H59" s="3"/>
      <c r="I59" s="8"/>
    </row>
    <row r="60" spans="1:9" ht="30" customHeight="1" x14ac:dyDescent="0.3">
      <c r="A60" s="1"/>
      <c r="B60" s="1"/>
      <c r="C60" s="3"/>
      <c r="H60" s="3"/>
      <c r="I60" s="8"/>
    </row>
    <row r="61" spans="1:9" ht="30" customHeight="1" x14ac:dyDescent="0.3">
      <c r="A61" s="1"/>
      <c r="B61" s="1"/>
      <c r="C61" s="3"/>
      <c r="H61" s="3"/>
      <c r="I61" s="8"/>
    </row>
    <row r="62" spans="1:9" ht="30" customHeight="1" x14ac:dyDescent="0.3">
      <c r="A62" s="1"/>
      <c r="B62" s="1"/>
      <c r="C62" s="3"/>
      <c r="H62" s="3"/>
      <c r="I62" s="8"/>
    </row>
    <row r="63" spans="1:9" ht="30" customHeight="1" x14ac:dyDescent="0.3">
      <c r="A63" s="1"/>
      <c r="B63" s="1"/>
      <c r="C63" s="3"/>
      <c r="H63" s="3"/>
      <c r="I63" s="8"/>
    </row>
    <row r="64" spans="1:9" ht="30" customHeight="1" x14ac:dyDescent="0.3">
      <c r="A64" s="1"/>
      <c r="B64" s="1"/>
      <c r="C64" s="3"/>
      <c r="H64" s="3"/>
      <c r="I64" s="8"/>
    </row>
    <row r="65" spans="1:9" ht="30" customHeight="1" x14ac:dyDescent="0.3">
      <c r="A65" s="1"/>
      <c r="B65" s="1"/>
      <c r="C65" s="3"/>
      <c r="H65" s="3"/>
      <c r="I65" s="8"/>
    </row>
    <row r="66" spans="1:9" ht="30" customHeight="1" x14ac:dyDescent="0.3">
      <c r="A66" s="1"/>
      <c r="B66" s="1"/>
      <c r="C66" s="3"/>
      <c r="H66" s="3"/>
      <c r="I66" s="8"/>
    </row>
    <row r="67" spans="1:9" ht="30" customHeight="1" x14ac:dyDescent="0.3">
      <c r="A67" s="1"/>
      <c r="B67" s="1"/>
      <c r="C67" s="3"/>
      <c r="H67" s="3"/>
      <c r="I67" s="8"/>
    </row>
    <row r="68" spans="1:9" ht="30" customHeight="1" x14ac:dyDescent="0.3">
      <c r="A68" s="1"/>
      <c r="B68" s="1"/>
      <c r="C68" s="3"/>
      <c r="H68" s="3"/>
      <c r="I68" s="8"/>
    </row>
    <row r="69" spans="1:9" ht="30" customHeight="1" x14ac:dyDescent="0.3">
      <c r="A69" s="1"/>
      <c r="B69" s="1"/>
      <c r="C69" s="3"/>
      <c r="H69" s="3"/>
      <c r="I69" s="8"/>
    </row>
    <row r="70" spans="1:9" ht="30" customHeight="1" x14ac:dyDescent="0.3">
      <c r="A70" s="1"/>
      <c r="B70" s="1"/>
      <c r="C70" s="3"/>
      <c r="H70" s="3"/>
      <c r="I70" s="8"/>
    </row>
    <row r="71" spans="1:9" ht="30" customHeight="1" x14ac:dyDescent="0.3">
      <c r="A71" s="1"/>
      <c r="B71" s="1"/>
      <c r="C71" s="3"/>
      <c r="H71" s="3"/>
      <c r="I71" s="8"/>
    </row>
    <row r="72" spans="1:9" ht="30" customHeight="1" x14ac:dyDescent="0.3">
      <c r="A72" s="1"/>
      <c r="B72" s="1"/>
      <c r="C72" s="3"/>
      <c r="H72" s="3"/>
      <c r="I72" s="8"/>
    </row>
    <row r="73" spans="1:9" ht="30" customHeight="1" x14ac:dyDescent="0.3">
      <c r="A73" s="1"/>
      <c r="B73" s="1"/>
      <c r="C73" s="3"/>
      <c r="H73" s="3"/>
      <c r="I73" s="8"/>
    </row>
    <row r="74" spans="1:9" ht="30" customHeight="1" x14ac:dyDescent="0.3">
      <c r="A74" s="1"/>
      <c r="B74" s="1"/>
      <c r="C74" s="3"/>
      <c r="H74" s="3"/>
      <c r="I74" s="8"/>
    </row>
    <row r="75" spans="1:9" ht="30" customHeight="1" x14ac:dyDescent="0.3">
      <c r="A75" s="1"/>
      <c r="B75" s="1"/>
      <c r="C75" s="3"/>
      <c r="H75" s="3"/>
      <c r="I75" s="8"/>
    </row>
    <row r="76" spans="1:9" ht="30" customHeight="1" x14ac:dyDescent="0.3">
      <c r="A76" s="1"/>
      <c r="B76" s="1"/>
      <c r="C76" s="3"/>
      <c r="H76" s="3"/>
      <c r="I76" s="8"/>
    </row>
    <row r="77" spans="1:9" ht="30" customHeight="1" x14ac:dyDescent="0.3">
      <c r="A77" s="1"/>
      <c r="B77" s="1"/>
      <c r="C77" s="3"/>
      <c r="H77" s="3"/>
      <c r="I77" s="8"/>
    </row>
    <row r="78" spans="1:9" ht="30" customHeight="1" x14ac:dyDescent="0.3">
      <c r="A78" s="1"/>
      <c r="B78" s="1"/>
      <c r="C78" s="3"/>
      <c r="H78" s="3"/>
      <c r="I78" s="8"/>
    </row>
    <row r="79" spans="1:9" ht="30" customHeight="1" x14ac:dyDescent="0.3">
      <c r="A79" s="1"/>
      <c r="B79" s="1"/>
      <c r="C79" s="3"/>
      <c r="H79" s="3"/>
      <c r="I79" s="8"/>
    </row>
    <row r="80" spans="1:9" ht="30" customHeight="1" x14ac:dyDescent="0.3">
      <c r="A80" s="1"/>
      <c r="B80" s="1"/>
      <c r="C80" s="3"/>
      <c r="H80" s="3"/>
      <c r="I80" s="8"/>
    </row>
    <row r="81" spans="1:9" ht="30" customHeight="1" x14ac:dyDescent="0.3">
      <c r="A81" s="1"/>
      <c r="B81" s="1"/>
      <c r="C81" s="3"/>
      <c r="H81" s="3"/>
      <c r="I81" s="8"/>
    </row>
    <row r="82" spans="1:9" ht="30" customHeight="1" x14ac:dyDescent="0.3">
      <c r="A82" s="1"/>
      <c r="B82" s="1"/>
      <c r="C82" s="3"/>
      <c r="H82" s="3"/>
      <c r="I82" s="8"/>
    </row>
    <row r="83" spans="1:9" ht="30" customHeight="1" x14ac:dyDescent="0.3">
      <c r="A83" s="1"/>
      <c r="B83" s="1"/>
      <c r="C83" s="3"/>
      <c r="H83" s="3"/>
      <c r="I83" s="8"/>
    </row>
    <row r="84" spans="1:9" ht="30" customHeight="1" x14ac:dyDescent="0.3">
      <c r="A84" s="1"/>
      <c r="B84" s="1"/>
      <c r="C84" s="3"/>
      <c r="H84" s="3"/>
      <c r="I84" s="8"/>
    </row>
    <row r="85" spans="1:9" ht="30" customHeight="1" x14ac:dyDescent="0.3">
      <c r="A85" s="1"/>
      <c r="B85" s="1"/>
      <c r="C85" s="3"/>
      <c r="H85" s="3"/>
      <c r="I85" s="8"/>
    </row>
    <row r="86" spans="1:9" ht="30" customHeight="1" x14ac:dyDescent="0.3">
      <c r="A86" s="1"/>
      <c r="B86" s="1"/>
      <c r="C86" s="3"/>
      <c r="H86" s="3"/>
      <c r="I86" s="8"/>
    </row>
    <row r="87" spans="1:9" ht="30" customHeight="1" x14ac:dyDescent="0.3">
      <c r="A87" s="1"/>
      <c r="B87" s="1"/>
      <c r="C87" s="3"/>
      <c r="H87" s="3"/>
      <c r="I87" s="8"/>
    </row>
    <row r="88" spans="1:9" ht="30" customHeight="1" x14ac:dyDescent="0.3">
      <c r="A88" s="1"/>
      <c r="B88" s="1"/>
      <c r="C88" s="3"/>
      <c r="H88" s="3"/>
      <c r="I88" s="8"/>
    </row>
    <row r="89" spans="1:9" ht="30" customHeight="1" x14ac:dyDescent="0.3">
      <c r="A89" s="1"/>
      <c r="B89" s="1"/>
      <c r="C89" s="3"/>
      <c r="H89" s="3"/>
      <c r="I89" s="8"/>
    </row>
    <row r="90" spans="1:9" ht="30" customHeight="1" x14ac:dyDescent="0.3">
      <c r="A90" s="1"/>
      <c r="B90" s="1"/>
      <c r="C90" s="3"/>
      <c r="H90" s="3"/>
      <c r="I90" s="8"/>
    </row>
    <row r="91" spans="1:9" ht="30" customHeight="1" x14ac:dyDescent="0.3">
      <c r="A91" s="1"/>
      <c r="B91" s="1"/>
      <c r="C91" s="3"/>
      <c r="H91" s="3"/>
      <c r="I91" s="8"/>
    </row>
    <row r="92" spans="1:9" ht="30" customHeight="1" x14ac:dyDescent="0.3">
      <c r="A92" s="1"/>
      <c r="B92" s="1"/>
      <c r="C92" s="3"/>
      <c r="H92" s="3"/>
      <c r="I92" s="8"/>
    </row>
    <row r="93" spans="1:9" ht="30" customHeight="1" x14ac:dyDescent="0.3">
      <c r="A93" s="1"/>
      <c r="B93" s="1"/>
      <c r="C93" s="3"/>
      <c r="H93" s="3"/>
      <c r="I93" s="8"/>
    </row>
    <row r="94" spans="1:9" ht="30" customHeight="1" x14ac:dyDescent="0.3">
      <c r="A94" s="1"/>
      <c r="B94" s="1"/>
      <c r="C94" s="3"/>
      <c r="H94" s="3"/>
      <c r="I94" s="8"/>
    </row>
    <row r="95" spans="1:9" ht="30" customHeight="1" x14ac:dyDescent="0.3">
      <c r="A95" s="1"/>
      <c r="B95" s="1"/>
      <c r="C95" s="3"/>
      <c r="H95" s="3"/>
      <c r="I95" s="8"/>
    </row>
    <row r="96" spans="1:9" ht="30" customHeight="1" x14ac:dyDescent="0.3">
      <c r="A96" s="1"/>
      <c r="B96" s="1"/>
      <c r="C96" s="3"/>
      <c r="H96" s="3"/>
      <c r="I96" s="8"/>
    </row>
  </sheetData>
  <autoFilter ref="A2:Q29" xr:uid="{22B94E74-FAD6-4E95-80DA-75951F9B8E23}"/>
  <mergeCells count="1">
    <mergeCell ref="H1:I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68" orientation="portrait" r:id="rId1"/>
  <headerFooter>
    <oddHeader>&amp;C&amp;"굴림,굵게"&amp;18노인 보호구역 지정·관리 현황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0C747-51DB-45BC-8069-A992ED866E6C}">
  <dimension ref="A1:Q97"/>
  <sheetViews>
    <sheetView view="pageBreakPreview" topLeftCell="B1" zoomScaleNormal="100" zoomScaleSheetLayoutView="100" workbookViewId="0">
      <selection activeCell="P3" sqref="P3"/>
    </sheetView>
  </sheetViews>
  <sheetFormatPr defaultRowHeight="12" x14ac:dyDescent="0.3"/>
  <cols>
    <col min="1" max="1" width="6.625" style="2" customWidth="1"/>
    <col min="2" max="2" width="8.875" style="2" customWidth="1"/>
    <col min="3" max="3" width="11" style="2" customWidth="1"/>
    <col min="4" max="5" width="16.375" style="2" customWidth="1"/>
    <col min="6" max="6" width="23.125" style="2" customWidth="1"/>
    <col min="7" max="8" width="9" style="2"/>
    <col min="9" max="9" width="18.375" style="7" customWidth="1"/>
    <col min="10" max="16384" width="9" style="1"/>
  </cols>
  <sheetData>
    <row r="1" spans="1:17" ht="24.95" customHeight="1" thickBot="1" x14ac:dyDescent="0.35">
      <c r="H1" s="107" t="s">
        <v>598</v>
      </c>
      <c r="I1" s="107"/>
    </row>
    <row r="2" spans="1:17" s="5" customFormat="1" ht="35.1" customHeight="1" thickBot="1" x14ac:dyDescent="0.35">
      <c r="A2" s="81" t="s">
        <v>0</v>
      </c>
      <c r="B2" s="80" t="s">
        <v>7</v>
      </c>
      <c r="C2" s="80" t="s">
        <v>1</v>
      </c>
      <c r="D2" s="80" t="s">
        <v>2</v>
      </c>
      <c r="E2" s="80" t="s">
        <v>3</v>
      </c>
      <c r="F2" s="80" t="s">
        <v>6</v>
      </c>
      <c r="G2" s="80" t="s">
        <v>4</v>
      </c>
      <c r="H2" s="80" t="s">
        <v>5</v>
      </c>
      <c r="I2" s="79" t="s">
        <v>8</v>
      </c>
      <c r="J2" s="84" t="s">
        <v>673</v>
      </c>
      <c r="K2" s="85" t="s">
        <v>674</v>
      </c>
      <c r="L2" s="84" t="s">
        <v>675</v>
      </c>
      <c r="M2" s="102" t="s">
        <v>681</v>
      </c>
      <c r="N2" s="84" t="s">
        <v>677</v>
      </c>
      <c r="O2" s="84" t="s">
        <v>678</v>
      </c>
      <c r="P2" s="84" t="s">
        <v>679</v>
      </c>
      <c r="Q2" s="84" t="s">
        <v>680</v>
      </c>
    </row>
    <row r="3" spans="1:17" ht="30" customHeight="1" x14ac:dyDescent="0.3">
      <c r="A3" s="9">
        <v>1</v>
      </c>
      <c r="B3" s="10">
        <v>2012</v>
      </c>
      <c r="C3" s="11" t="s">
        <v>668</v>
      </c>
      <c r="D3" s="10" t="s">
        <v>669</v>
      </c>
      <c r="E3" s="10" t="s">
        <v>670</v>
      </c>
      <c r="F3" s="10" t="s">
        <v>671</v>
      </c>
      <c r="G3" s="10" t="s">
        <v>25</v>
      </c>
      <c r="H3" s="11" t="s">
        <v>672</v>
      </c>
      <c r="I3" s="78"/>
      <c r="J3" s="1">
        <v>230</v>
      </c>
      <c r="K3" s="1">
        <v>8</v>
      </c>
      <c r="L3" s="1">
        <v>9</v>
      </c>
      <c r="N3" s="1">
        <v>3</v>
      </c>
    </row>
    <row r="4" spans="1:17" ht="30" customHeight="1" x14ac:dyDescent="0.3">
      <c r="A4" s="12"/>
      <c r="B4" s="13"/>
      <c r="C4" s="14"/>
      <c r="D4" s="13"/>
      <c r="E4" s="13"/>
      <c r="F4" s="13"/>
      <c r="G4" s="13"/>
      <c r="H4" s="14"/>
      <c r="I4" s="77"/>
    </row>
    <row r="5" spans="1:17" ht="30" customHeight="1" x14ac:dyDescent="0.3">
      <c r="A5" s="12"/>
      <c r="B5" s="13"/>
      <c r="C5" s="14"/>
      <c r="D5" s="13"/>
      <c r="E5" s="13"/>
      <c r="F5" s="13"/>
      <c r="G5" s="13"/>
      <c r="H5" s="14"/>
      <c r="I5" s="77"/>
    </row>
    <row r="6" spans="1:17" ht="30" customHeight="1" x14ac:dyDescent="0.3">
      <c r="A6" s="12"/>
      <c r="B6" s="13"/>
      <c r="C6" s="14"/>
      <c r="D6" s="13"/>
      <c r="E6" s="13"/>
      <c r="F6" s="13"/>
      <c r="G6" s="13"/>
      <c r="H6" s="14"/>
      <c r="I6" s="77"/>
    </row>
    <row r="7" spans="1:17" ht="30" customHeight="1" x14ac:dyDescent="0.3">
      <c r="A7" s="12"/>
      <c r="B7" s="13"/>
      <c r="C7" s="14"/>
      <c r="D7" s="13"/>
      <c r="E7" s="13"/>
      <c r="F7" s="13"/>
      <c r="G7" s="13"/>
      <c r="H7" s="14"/>
      <c r="I7" s="77"/>
    </row>
    <row r="8" spans="1:17" s="74" customFormat="1" ht="30" customHeight="1" x14ac:dyDescent="0.3">
      <c r="A8" s="12"/>
      <c r="B8" s="13"/>
      <c r="C8" s="14"/>
      <c r="D8" s="13"/>
      <c r="E8" s="13"/>
      <c r="F8" s="13"/>
      <c r="G8" s="13"/>
      <c r="H8" s="14"/>
      <c r="I8" s="77"/>
    </row>
    <row r="9" spans="1:17" ht="30" customHeight="1" x14ac:dyDescent="0.3">
      <c r="A9" s="12"/>
      <c r="B9" s="13"/>
      <c r="C9" s="14"/>
      <c r="D9" s="13"/>
      <c r="E9" s="13"/>
      <c r="F9" s="13"/>
      <c r="G9" s="13"/>
      <c r="H9" s="14"/>
      <c r="I9" s="77"/>
    </row>
    <row r="10" spans="1:17" ht="30" customHeight="1" x14ac:dyDescent="0.3">
      <c r="A10" s="12"/>
      <c r="B10" s="13"/>
      <c r="C10" s="14"/>
      <c r="D10" s="13"/>
      <c r="E10" s="13"/>
      <c r="F10" s="13"/>
      <c r="G10" s="13"/>
      <c r="H10" s="14"/>
      <c r="I10" s="77"/>
    </row>
    <row r="11" spans="1:17" ht="30" customHeight="1" x14ac:dyDescent="0.3">
      <c r="A11" s="12"/>
      <c r="B11" s="13"/>
      <c r="C11" s="14"/>
      <c r="D11" s="13"/>
      <c r="E11" s="13"/>
      <c r="F11" s="13"/>
      <c r="G11" s="13"/>
      <c r="H11" s="14"/>
      <c r="I11" s="77"/>
    </row>
    <row r="12" spans="1:17" ht="30" customHeight="1" x14ac:dyDescent="0.3">
      <c r="A12" s="12"/>
      <c r="B12" s="13"/>
      <c r="C12" s="14"/>
      <c r="D12" s="13"/>
      <c r="E12" s="13"/>
      <c r="F12" s="13"/>
      <c r="G12" s="13"/>
      <c r="H12" s="14"/>
      <c r="I12" s="77"/>
    </row>
    <row r="13" spans="1:17" ht="30" customHeight="1" x14ac:dyDescent="0.3">
      <c r="A13" s="12"/>
      <c r="B13" s="13"/>
      <c r="C13" s="14"/>
      <c r="D13" s="13"/>
      <c r="E13" s="13"/>
      <c r="F13" s="13"/>
      <c r="G13" s="13"/>
      <c r="H13" s="14"/>
      <c r="I13" s="77"/>
    </row>
    <row r="14" spans="1:17" ht="30" customHeight="1" x14ac:dyDescent="0.3">
      <c r="A14" s="12"/>
      <c r="B14" s="13"/>
      <c r="C14" s="14"/>
      <c r="D14" s="13"/>
      <c r="E14" s="13"/>
      <c r="F14" s="13"/>
      <c r="G14" s="13"/>
      <c r="H14" s="14"/>
      <c r="I14" s="77"/>
    </row>
    <row r="15" spans="1:17" ht="30" customHeight="1" x14ac:dyDescent="0.3">
      <c r="A15" s="12"/>
      <c r="B15" s="13"/>
      <c r="C15" s="14"/>
      <c r="D15" s="13"/>
      <c r="E15" s="13"/>
      <c r="F15" s="13"/>
      <c r="G15" s="13"/>
      <c r="H15" s="14"/>
      <c r="I15" s="77"/>
    </row>
    <row r="16" spans="1:17" ht="30" customHeight="1" x14ac:dyDescent="0.3">
      <c r="A16" s="12"/>
      <c r="B16" s="13"/>
      <c r="C16" s="14"/>
      <c r="D16" s="13"/>
      <c r="E16" s="13"/>
      <c r="F16" s="13"/>
      <c r="G16" s="13"/>
      <c r="H16" s="14"/>
      <c r="I16" s="77"/>
    </row>
    <row r="17" spans="1:9" s="74" customFormat="1" ht="30" customHeight="1" x14ac:dyDescent="0.3">
      <c r="A17" s="12"/>
      <c r="B17" s="13"/>
      <c r="C17" s="14"/>
      <c r="D17" s="13"/>
      <c r="E17" s="13"/>
      <c r="F17" s="13"/>
      <c r="G17" s="13"/>
      <c r="H17" s="14"/>
      <c r="I17" s="77"/>
    </row>
    <row r="18" spans="1:9" ht="30" customHeight="1" x14ac:dyDescent="0.3">
      <c r="A18" s="12"/>
      <c r="B18" s="13"/>
      <c r="C18" s="14"/>
      <c r="D18" s="13"/>
      <c r="E18" s="13"/>
      <c r="F18" s="13"/>
      <c r="G18" s="13"/>
      <c r="H18" s="14"/>
      <c r="I18" s="77"/>
    </row>
    <row r="19" spans="1:9" ht="30" customHeight="1" x14ac:dyDescent="0.3">
      <c r="A19" s="12"/>
      <c r="B19" s="13"/>
      <c r="C19" s="14"/>
      <c r="D19" s="13"/>
      <c r="E19" s="13"/>
      <c r="F19" s="13"/>
      <c r="G19" s="13"/>
      <c r="H19" s="14"/>
      <c r="I19" s="77"/>
    </row>
    <row r="20" spans="1:9" ht="30" customHeight="1" x14ac:dyDescent="0.3">
      <c r="A20" s="12"/>
      <c r="B20" s="13"/>
      <c r="C20" s="14"/>
      <c r="D20" s="13"/>
      <c r="E20" s="13"/>
      <c r="F20" s="13"/>
      <c r="G20" s="13"/>
      <c r="H20" s="14"/>
      <c r="I20" s="76"/>
    </row>
    <row r="21" spans="1:9" ht="30" customHeight="1" x14ac:dyDescent="0.3">
      <c r="A21" s="12"/>
      <c r="B21" s="13"/>
      <c r="C21" s="14"/>
      <c r="D21" s="13"/>
      <c r="E21" s="13"/>
      <c r="F21" s="13"/>
      <c r="G21" s="13"/>
      <c r="H21" s="14"/>
      <c r="I21" s="77"/>
    </row>
    <row r="22" spans="1:9" ht="30" customHeight="1" x14ac:dyDescent="0.3">
      <c r="A22" s="12"/>
      <c r="B22" s="13"/>
      <c r="C22" s="14"/>
      <c r="D22" s="13"/>
      <c r="E22" s="13"/>
      <c r="F22" s="13"/>
      <c r="G22" s="13"/>
      <c r="H22" s="14"/>
      <c r="I22" s="76"/>
    </row>
    <row r="23" spans="1:9" ht="30" customHeight="1" x14ac:dyDescent="0.3">
      <c r="A23" s="12"/>
      <c r="B23" s="13"/>
      <c r="C23" s="14"/>
      <c r="D23" s="13"/>
      <c r="E23" s="13"/>
      <c r="F23" s="13"/>
      <c r="G23" s="13"/>
      <c r="H23" s="14"/>
      <c r="I23" s="76"/>
    </row>
    <row r="24" spans="1:9" ht="30" customHeight="1" x14ac:dyDescent="0.3">
      <c r="A24" s="12"/>
      <c r="B24" s="13"/>
      <c r="C24" s="14"/>
      <c r="D24" s="13"/>
      <c r="E24" s="13"/>
      <c r="F24" s="13"/>
      <c r="G24" s="13"/>
      <c r="H24" s="14"/>
      <c r="I24" s="77"/>
    </row>
    <row r="25" spans="1:9" ht="30" customHeight="1" x14ac:dyDescent="0.3">
      <c r="A25" s="12"/>
      <c r="B25" s="13"/>
      <c r="C25" s="14"/>
      <c r="D25" s="13"/>
      <c r="E25" s="13"/>
      <c r="F25" s="13"/>
      <c r="G25" s="13"/>
      <c r="H25" s="14"/>
      <c r="I25" s="77"/>
    </row>
    <row r="26" spans="1:9" ht="30" customHeight="1" x14ac:dyDescent="0.3">
      <c r="A26" s="12"/>
      <c r="B26" s="13"/>
      <c r="C26" s="14"/>
      <c r="D26" s="13"/>
      <c r="E26" s="13"/>
      <c r="F26" s="13"/>
      <c r="G26" s="13"/>
      <c r="H26" s="14"/>
      <c r="I26" s="77"/>
    </row>
    <row r="27" spans="1:9" ht="30" customHeight="1" x14ac:dyDescent="0.3">
      <c r="A27" s="12"/>
      <c r="B27" s="13"/>
      <c r="C27" s="14"/>
      <c r="D27" s="13"/>
      <c r="E27" s="13"/>
      <c r="F27" s="13"/>
      <c r="G27" s="13"/>
      <c r="H27" s="14"/>
      <c r="I27" s="77"/>
    </row>
    <row r="28" spans="1:9" ht="30" customHeight="1" x14ac:dyDescent="0.3">
      <c r="A28" s="12"/>
      <c r="B28" s="13"/>
      <c r="C28" s="14"/>
      <c r="D28" s="13"/>
      <c r="E28" s="13"/>
      <c r="F28" s="13"/>
      <c r="G28" s="13"/>
      <c r="H28" s="14"/>
      <c r="I28" s="77"/>
    </row>
    <row r="29" spans="1:9" ht="30" customHeight="1" x14ac:dyDescent="0.3">
      <c r="A29" s="12"/>
      <c r="B29" s="13"/>
      <c r="C29" s="14"/>
      <c r="D29" s="13"/>
      <c r="E29" s="13"/>
      <c r="F29" s="13"/>
      <c r="G29" s="13"/>
      <c r="H29" s="14"/>
      <c r="I29" s="77"/>
    </row>
    <row r="30" spans="1:9" ht="30" customHeight="1" x14ac:dyDescent="0.3">
      <c r="A30" s="12"/>
      <c r="B30" s="13"/>
      <c r="C30" s="14"/>
      <c r="D30" s="13"/>
      <c r="E30" s="13"/>
      <c r="F30" s="13"/>
      <c r="G30" s="13"/>
      <c r="H30" s="14"/>
      <c r="I30" s="77"/>
    </row>
    <row r="31" spans="1:9" ht="30" customHeight="1" x14ac:dyDescent="0.3">
      <c r="A31" s="12"/>
      <c r="B31" s="13"/>
      <c r="C31" s="14"/>
      <c r="D31" s="13"/>
      <c r="E31" s="13"/>
      <c r="F31" s="13"/>
      <c r="G31" s="13"/>
      <c r="H31" s="14"/>
      <c r="I31" s="77"/>
    </row>
    <row r="32" spans="1:9" s="74" customFormat="1" ht="30" customHeight="1" x14ac:dyDescent="0.3">
      <c r="A32" s="12"/>
      <c r="B32" s="13"/>
      <c r="C32" s="14"/>
      <c r="D32" s="13"/>
      <c r="E32" s="13"/>
      <c r="F32" s="13"/>
      <c r="G32" s="13"/>
      <c r="H32" s="14"/>
      <c r="I32" s="76"/>
    </row>
    <row r="33" spans="1:9" ht="30" customHeight="1" thickBot="1" x14ac:dyDescent="0.35">
      <c r="A33" s="73"/>
      <c r="B33" s="72"/>
      <c r="C33" s="71"/>
      <c r="D33" s="72"/>
      <c r="E33" s="72"/>
      <c r="F33" s="72"/>
      <c r="G33" s="72"/>
      <c r="H33" s="71"/>
      <c r="I33" s="70"/>
    </row>
    <row r="34" spans="1:9" ht="30" customHeight="1" x14ac:dyDescent="0.3">
      <c r="C34" s="3"/>
      <c r="H34" s="3"/>
    </row>
    <row r="35" spans="1:9" ht="30" customHeight="1" x14ac:dyDescent="0.3">
      <c r="C35" s="3"/>
      <c r="H35" s="3"/>
    </row>
    <row r="36" spans="1:9" ht="30" customHeight="1" x14ac:dyDescent="0.3">
      <c r="C36" s="3"/>
      <c r="H36" s="3"/>
    </row>
    <row r="37" spans="1:9" ht="30" customHeight="1" x14ac:dyDescent="0.3">
      <c r="C37" s="3"/>
      <c r="H37" s="3"/>
    </row>
    <row r="38" spans="1:9" ht="30" customHeight="1" x14ac:dyDescent="0.3">
      <c r="C38" s="3"/>
      <c r="H38" s="3"/>
    </row>
    <row r="39" spans="1:9" ht="30" customHeight="1" x14ac:dyDescent="0.3">
      <c r="A39" s="1"/>
      <c r="B39" s="1"/>
      <c r="C39" s="3"/>
      <c r="H39" s="3"/>
      <c r="I39" s="8"/>
    </row>
    <row r="40" spans="1:9" ht="30" customHeight="1" x14ac:dyDescent="0.3">
      <c r="A40" s="1"/>
      <c r="B40" s="1"/>
      <c r="C40" s="3"/>
      <c r="H40" s="3"/>
      <c r="I40" s="8"/>
    </row>
    <row r="41" spans="1:9" ht="30" customHeight="1" x14ac:dyDescent="0.3">
      <c r="A41" s="1"/>
      <c r="B41" s="1"/>
      <c r="C41" s="3"/>
      <c r="H41" s="3"/>
      <c r="I41" s="8"/>
    </row>
    <row r="42" spans="1:9" ht="30" customHeight="1" x14ac:dyDescent="0.3">
      <c r="A42" s="1"/>
      <c r="B42" s="1"/>
      <c r="C42" s="3"/>
      <c r="H42" s="3"/>
      <c r="I42" s="8"/>
    </row>
    <row r="43" spans="1:9" ht="30" customHeight="1" x14ac:dyDescent="0.3">
      <c r="A43" s="1"/>
      <c r="B43" s="1"/>
      <c r="C43" s="3"/>
      <c r="H43" s="3"/>
      <c r="I43" s="8"/>
    </row>
    <row r="44" spans="1:9" ht="30" customHeight="1" x14ac:dyDescent="0.3">
      <c r="A44" s="1"/>
      <c r="B44" s="1"/>
      <c r="C44" s="3"/>
      <c r="H44" s="3"/>
      <c r="I44" s="8"/>
    </row>
    <row r="45" spans="1:9" ht="30" customHeight="1" x14ac:dyDescent="0.3">
      <c r="A45" s="1"/>
      <c r="B45" s="1"/>
      <c r="C45" s="3"/>
      <c r="H45" s="3"/>
      <c r="I45" s="8"/>
    </row>
    <row r="46" spans="1:9" ht="30" customHeight="1" x14ac:dyDescent="0.3">
      <c r="A46" s="1"/>
      <c r="B46" s="1"/>
      <c r="C46" s="3"/>
      <c r="H46" s="3"/>
      <c r="I46" s="8"/>
    </row>
    <row r="47" spans="1:9" ht="30" customHeight="1" x14ac:dyDescent="0.3">
      <c r="A47" s="1"/>
      <c r="B47" s="1"/>
      <c r="C47" s="3"/>
      <c r="H47" s="3"/>
      <c r="I47" s="8"/>
    </row>
    <row r="48" spans="1:9" ht="30" customHeight="1" x14ac:dyDescent="0.3">
      <c r="A48" s="1"/>
      <c r="B48" s="1"/>
      <c r="C48" s="3"/>
      <c r="H48" s="3"/>
      <c r="I48" s="8"/>
    </row>
    <row r="49" spans="1:9" ht="30" customHeight="1" x14ac:dyDescent="0.3">
      <c r="A49" s="1"/>
      <c r="B49" s="1"/>
      <c r="C49" s="3"/>
      <c r="H49" s="3"/>
      <c r="I49" s="8"/>
    </row>
    <row r="50" spans="1:9" ht="30" customHeight="1" x14ac:dyDescent="0.3">
      <c r="A50" s="1"/>
      <c r="B50" s="1"/>
      <c r="C50" s="3"/>
      <c r="H50" s="3"/>
      <c r="I50" s="8"/>
    </row>
    <row r="51" spans="1:9" ht="30" customHeight="1" x14ac:dyDescent="0.3">
      <c r="A51" s="1"/>
      <c r="B51" s="1"/>
      <c r="C51" s="3"/>
      <c r="H51" s="3"/>
      <c r="I51" s="8"/>
    </row>
    <row r="52" spans="1:9" ht="30" customHeight="1" x14ac:dyDescent="0.3">
      <c r="A52" s="1"/>
      <c r="B52" s="1"/>
      <c r="C52" s="3"/>
      <c r="H52" s="3"/>
      <c r="I52" s="8"/>
    </row>
    <row r="53" spans="1:9" ht="30" customHeight="1" x14ac:dyDescent="0.3">
      <c r="A53" s="1"/>
      <c r="B53" s="1"/>
      <c r="C53" s="3"/>
      <c r="H53" s="3"/>
      <c r="I53" s="8"/>
    </row>
    <row r="54" spans="1:9" ht="30" customHeight="1" x14ac:dyDescent="0.3">
      <c r="A54" s="1"/>
      <c r="B54" s="1"/>
      <c r="C54" s="3"/>
      <c r="H54" s="3"/>
      <c r="I54" s="8"/>
    </row>
    <row r="55" spans="1:9" ht="30" customHeight="1" x14ac:dyDescent="0.3">
      <c r="A55" s="1"/>
      <c r="B55" s="1"/>
      <c r="C55" s="3"/>
      <c r="H55" s="3"/>
      <c r="I55" s="8"/>
    </row>
    <row r="56" spans="1:9" ht="30" customHeight="1" x14ac:dyDescent="0.3">
      <c r="A56" s="1"/>
      <c r="B56" s="1"/>
      <c r="C56" s="3"/>
      <c r="H56" s="3"/>
      <c r="I56" s="8"/>
    </row>
    <row r="57" spans="1:9" ht="30" customHeight="1" x14ac:dyDescent="0.3">
      <c r="A57" s="1"/>
      <c r="B57" s="1"/>
      <c r="C57" s="3"/>
      <c r="H57" s="3"/>
      <c r="I57" s="8"/>
    </row>
    <row r="58" spans="1:9" ht="30" customHeight="1" x14ac:dyDescent="0.3">
      <c r="A58" s="1"/>
      <c r="B58" s="1"/>
      <c r="C58" s="3"/>
      <c r="H58" s="3"/>
      <c r="I58" s="8"/>
    </row>
    <row r="59" spans="1:9" ht="30" customHeight="1" x14ac:dyDescent="0.3">
      <c r="A59" s="1"/>
      <c r="B59" s="1"/>
      <c r="C59" s="3"/>
      <c r="H59" s="3"/>
      <c r="I59" s="8"/>
    </row>
    <row r="60" spans="1:9" ht="30" customHeight="1" x14ac:dyDescent="0.3">
      <c r="A60" s="1"/>
      <c r="B60" s="1"/>
      <c r="C60" s="3"/>
      <c r="H60" s="3"/>
      <c r="I60" s="8"/>
    </row>
    <row r="61" spans="1:9" ht="30" customHeight="1" x14ac:dyDescent="0.3">
      <c r="A61" s="1"/>
      <c r="B61" s="1"/>
      <c r="C61" s="3"/>
      <c r="H61" s="3"/>
      <c r="I61" s="8"/>
    </row>
    <row r="62" spans="1:9" ht="30" customHeight="1" x14ac:dyDescent="0.3">
      <c r="A62" s="1"/>
      <c r="B62" s="1"/>
      <c r="C62" s="3"/>
      <c r="H62" s="3"/>
      <c r="I62" s="8"/>
    </row>
    <row r="63" spans="1:9" ht="30" customHeight="1" x14ac:dyDescent="0.3">
      <c r="A63" s="1"/>
      <c r="B63" s="1"/>
      <c r="C63" s="3"/>
      <c r="H63" s="3"/>
      <c r="I63" s="8"/>
    </row>
    <row r="64" spans="1:9" ht="30" customHeight="1" x14ac:dyDescent="0.3">
      <c r="A64" s="1"/>
      <c r="B64" s="1"/>
      <c r="C64" s="3"/>
      <c r="H64" s="3"/>
      <c r="I64" s="8"/>
    </row>
    <row r="65" spans="1:9" ht="30" customHeight="1" x14ac:dyDescent="0.3">
      <c r="A65" s="1"/>
      <c r="B65" s="1"/>
      <c r="C65" s="3"/>
      <c r="H65" s="3"/>
      <c r="I65" s="8"/>
    </row>
    <row r="66" spans="1:9" ht="30" customHeight="1" x14ac:dyDescent="0.3">
      <c r="A66" s="1"/>
      <c r="B66" s="1"/>
      <c r="C66" s="3"/>
      <c r="H66" s="3"/>
      <c r="I66" s="8"/>
    </row>
    <row r="67" spans="1:9" ht="30" customHeight="1" x14ac:dyDescent="0.3">
      <c r="A67" s="1"/>
      <c r="B67" s="1"/>
      <c r="C67" s="3"/>
      <c r="H67" s="3"/>
      <c r="I67" s="8"/>
    </row>
    <row r="68" spans="1:9" ht="30" customHeight="1" x14ac:dyDescent="0.3">
      <c r="A68" s="1"/>
      <c r="B68" s="1"/>
      <c r="C68" s="3"/>
      <c r="H68" s="3"/>
      <c r="I68" s="8"/>
    </row>
    <row r="69" spans="1:9" ht="30" customHeight="1" x14ac:dyDescent="0.3">
      <c r="A69" s="1"/>
      <c r="B69" s="1"/>
      <c r="C69" s="3"/>
      <c r="H69" s="3"/>
      <c r="I69" s="8"/>
    </row>
    <row r="70" spans="1:9" ht="30" customHeight="1" x14ac:dyDescent="0.3">
      <c r="A70" s="1"/>
      <c r="B70" s="1"/>
      <c r="C70" s="3"/>
      <c r="H70" s="3"/>
      <c r="I70" s="8"/>
    </row>
    <row r="71" spans="1:9" ht="30" customHeight="1" x14ac:dyDescent="0.3">
      <c r="A71" s="1"/>
      <c r="B71" s="1"/>
      <c r="C71" s="3"/>
      <c r="H71" s="3"/>
      <c r="I71" s="8"/>
    </row>
    <row r="72" spans="1:9" ht="30" customHeight="1" x14ac:dyDescent="0.3">
      <c r="A72" s="1"/>
      <c r="B72" s="1"/>
      <c r="C72" s="3"/>
      <c r="H72" s="3"/>
      <c r="I72" s="8"/>
    </row>
    <row r="73" spans="1:9" ht="30" customHeight="1" x14ac:dyDescent="0.3">
      <c r="A73" s="1"/>
      <c r="B73" s="1"/>
      <c r="C73" s="3"/>
      <c r="H73" s="3"/>
      <c r="I73" s="8"/>
    </row>
    <row r="74" spans="1:9" ht="30" customHeight="1" x14ac:dyDescent="0.3">
      <c r="A74" s="1"/>
      <c r="B74" s="1"/>
      <c r="C74" s="3"/>
      <c r="H74" s="3"/>
      <c r="I74" s="8"/>
    </row>
    <row r="75" spans="1:9" ht="30" customHeight="1" x14ac:dyDescent="0.3">
      <c r="A75" s="1"/>
      <c r="B75" s="1"/>
      <c r="C75" s="3"/>
      <c r="H75" s="3"/>
      <c r="I75" s="8"/>
    </row>
    <row r="76" spans="1:9" ht="30" customHeight="1" x14ac:dyDescent="0.3">
      <c r="A76" s="1"/>
      <c r="B76" s="1"/>
      <c r="C76" s="3"/>
      <c r="H76" s="3"/>
      <c r="I76" s="8"/>
    </row>
    <row r="77" spans="1:9" ht="30" customHeight="1" x14ac:dyDescent="0.3">
      <c r="A77" s="1"/>
      <c r="B77" s="1"/>
      <c r="C77" s="3"/>
      <c r="H77" s="3"/>
      <c r="I77" s="8"/>
    </row>
    <row r="78" spans="1:9" ht="30" customHeight="1" x14ac:dyDescent="0.3">
      <c r="A78" s="1"/>
      <c r="B78" s="1"/>
      <c r="C78" s="3"/>
      <c r="H78" s="3"/>
      <c r="I78" s="8"/>
    </row>
    <row r="79" spans="1:9" ht="30" customHeight="1" x14ac:dyDescent="0.3">
      <c r="A79" s="1"/>
      <c r="B79" s="1"/>
      <c r="C79" s="3"/>
      <c r="H79" s="3"/>
      <c r="I79" s="8"/>
    </row>
    <row r="80" spans="1:9" ht="30" customHeight="1" x14ac:dyDescent="0.3">
      <c r="A80" s="1"/>
      <c r="B80" s="1"/>
      <c r="C80" s="3"/>
      <c r="H80" s="3"/>
      <c r="I80" s="8"/>
    </row>
    <row r="81" spans="1:9" ht="30" customHeight="1" x14ac:dyDescent="0.3">
      <c r="A81" s="1"/>
      <c r="B81" s="1"/>
      <c r="C81" s="3"/>
      <c r="H81" s="3"/>
      <c r="I81" s="8"/>
    </row>
    <row r="82" spans="1:9" ht="30" customHeight="1" x14ac:dyDescent="0.3">
      <c r="A82" s="1"/>
      <c r="B82" s="1"/>
      <c r="C82" s="3"/>
      <c r="H82" s="3"/>
      <c r="I82" s="8"/>
    </row>
    <row r="83" spans="1:9" ht="30" customHeight="1" x14ac:dyDescent="0.3">
      <c r="A83" s="1"/>
      <c r="B83" s="1"/>
      <c r="C83" s="3"/>
      <c r="H83" s="3"/>
      <c r="I83" s="8"/>
    </row>
    <row r="84" spans="1:9" ht="30" customHeight="1" x14ac:dyDescent="0.3">
      <c r="A84" s="1"/>
      <c r="B84" s="1"/>
      <c r="C84" s="3"/>
      <c r="H84" s="3"/>
      <c r="I84" s="8"/>
    </row>
    <row r="85" spans="1:9" ht="30" customHeight="1" x14ac:dyDescent="0.3">
      <c r="A85" s="1"/>
      <c r="B85" s="1"/>
      <c r="C85" s="3"/>
      <c r="H85" s="3"/>
      <c r="I85" s="8"/>
    </row>
    <row r="86" spans="1:9" ht="30" customHeight="1" x14ac:dyDescent="0.3">
      <c r="A86" s="1"/>
      <c r="B86" s="1"/>
      <c r="C86" s="3"/>
      <c r="H86" s="3"/>
      <c r="I86" s="8"/>
    </row>
    <row r="87" spans="1:9" ht="30" customHeight="1" x14ac:dyDescent="0.3">
      <c r="A87" s="1"/>
      <c r="B87" s="1"/>
      <c r="C87" s="3"/>
      <c r="H87" s="3"/>
      <c r="I87" s="8"/>
    </row>
    <row r="88" spans="1:9" ht="30" customHeight="1" x14ac:dyDescent="0.3">
      <c r="A88" s="1"/>
      <c r="B88" s="1"/>
      <c r="C88" s="3"/>
      <c r="H88" s="3"/>
      <c r="I88" s="8"/>
    </row>
    <row r="89" spans="1:9" ht="30" customHeight="1" x14ac:dyDescent="0.3">
      <c r="A89" s="1"/>
      <c r="B89" s="1"/>
      <c r="C89" s="3"/>
      <c r="H89" s="3"/>
      <c r="I89" s="8"/>
    </row>
    <row r="90" spans="1:9" ht="30" customHeight="1" x14ac:dyDescent="0.3">
      <c r="A90" s="1"/>
      <c r="B90" s="1"/>
      <c r="C90" s="3"/>
      <c r="H90" s="3"/>
      <c r="I90" s="8"/>
    </row>
    <row r="91" spans="1:9" ht="30" customHeight="1" x14ac:dyDescent="0.3">
      <c r="A91" s="1"/>
      <c r="B91" s="1"/>
      <c r="C91" s="3"/>
      <c r="H91" s="3"/>
      <c r="I91" s="8"/>
    </row>
    <row r="92" spans="1:9" ht="30" customHeight="1" x14ac:dyDescent="0.3">
      <c r="A92" s="1"/>
      <c r="B92" s="1"/>
      <c r="C92" s="3"/>
      <c r="H92" s="3"/>
      <c r="I92" s="8"/>
    </row>
    <row r="93" spans="1:9" ht="30" customHeight="1" x14ac:dyDescent="0.3">
      <c r="A93" s="1"/>
      <c r="B93" s="1"/>
      <c r="C93" s="3"/>
      <c r="H93" s="3"/>
      <c r="I93" s="8"/>
    </row>
    <row r="94" spans="1:9" ht="30" customHeight="1" x14ac:dyDescent="0.3">
      <c r="A94" s="1"/>
      <c r="B94" s="1"/>
      <c r="C94" s="3"/>
      <c r="H94" s="3"/>
      <c r="I94" s="8"/>
    </row>
    <row r="95" spans="1:9" ht="30" customHeight="1" x14ac:dyDescent="0.3">
      <c r="A95" s="1"/>
      <c r="B95" s="1"/>
      <c r="C95" s="3"/>
      <c r="H95" s="3"/>
      <c r="I95" s="8"/>
    </row>
    <row r="96" spans="1:9" ht="30" customHeight="1" x14ac:dyDescent="0.3">
      <c r="A96" s="1"/>
      <c r="B96" s="1"/>
      <c r="C96" s="3"/>
      <c r="H96" s="3"/>
      <c r="I96" s="8"/>
    </row>
    <row r="97" spans="1:9" ht="30" customHeight="1" x14ac:dyDescent="0.3">
      <c r="A97" s="1"/>
      <c r="B97" s="1"/>
      <c r="C97" s="3"/>
      <c r="H97" s="3"/>
      <c r="I97" s="8"/>
    </row>
  </sheetData>
  <mergeCells count="1">
    <mergeCell ref="H1:I1"/>
  </mergeCells>
  <phoneticPr fontId="1" type="noConversion"/>
  <pageMargins left="0.59055118110236227" right="0.59055118110236227" top="0.98425196850393704" bottom="0.78740157480314965" header="0.51181102362204722" footer="0.31496062992125984"/>
  <pageSetup paperSize="9" scale="70" orientation="portrait" r:id="rId1"/>
  <headerFooter>
    <oddHeader>&amp;C&amp;"굴림,굵게"&amp;18장애인 보호구역 지정·관리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총괄</vt:lpstr>
      <vt:lpstr>어린이 보호구역 지정·관리 현황</vt:lpstr>
      <vt:lpstr>노인 보호구역 지정·관리 현황</vt:lpstr>
      <vt:lpstr>장애인 보호구역 지정·관리 현황</vt:lpstr>
      <vt:lpstr>'노인 보호구역 지정·관리 현황'!Print_Area</vt:lpstr>
      <vt:lpstr>'어린이 보호구역 지정·관리 현황'!Print_Area</vt:lpstr>
      <vt:lpstr>'장애인 보호구역 지정·관리 현황'!Print_Area</vt:lpstr>
      <vt:lpstr>총괄!Print_Area</vt:lpstr>
      <vt:lpstr>'어린이 보호구역 지정·관리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2022-07-06T05:58:35Z</cp:lastPrinted>
  <dcterms:created xsi:type="dcterms:W3CDTF">2019-10-30T04:40:11Z</dcterms:created>
  <dcterms:modified xsi:type="dcterms:W3CDTF">2022-07-06T05:58:52Z</dcterms:modified>
</cp:coreProperties>
</file>