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 activeTab="1"/>
  </bookViews>
  <sheets>
    <sheet name="전국 민방위 비상급수시설 통계현황" sheetId="1" r:id="rId1"/>
    <sheet name="전국 민방위 비상급수시설 현황" sheetId="2" r:id="rId2"/>
  </sheets>
  <definedNames>
    <definedName name="_xlnm._FilterDatabase" localSheetId="1" hidden="1">'전국 민방위 비상급수시설 현황'!$A$10:$O$100</definedName>
  </definedNames>
  <calcPr calcId="145621"/>
</workbook>
</file>

<file path=xl/calcChain.xml><?xml version="1.0" encoding="utf-8"?>
<calcChain xmlns="http://schemas.openxmlformats.org/spreadsheetml/2006/main">
  <c r="K100" i="2" l="1"/>
  <c r="A100" i="2"/>
  <c r="K99" i="2"/>
  <c r="A99" i="2"/>
  <c r="K98" i="2"/>
  <c r="A98" i="2"/>
  <c r="K97" i="2"/>
  <c r="A97" i="2"/>
  <c r="K96" i="2"/>
  <c r="A96" i="2"/>
  <c r="K95" i="2"/>
  <c r="A95" i="2"/>
  <c r="K94" i="2"/>
  <c r="A94" i="2"/>
  <c r="K93" i="2"/>
  <c r="A93" i="2"/>
  <c r="K92" i="2"/>
  <c r="A92" i="2"/>
  <c r="K91" i="2"/>
  <c r="A91" i="2"/>
  <c r="K90" i="2"/>
  <c r="A90" i="2"/>
  <c r="K89" i="2"/>
  <c r="A89" i="2"/>
  <c r="K88" i="2"/>
  <c r="A88" i="2"/>
  <c r="K87" i="2"/>
  <c r="A87" i="2"/>
  <c r="K86" i="2"/>
  <c r="A86" i="2"/>
  <c r="K85" i="2"/>
  <c r="A85" i="2"/>
  <c r="K84" i="2"/>
  <c r="A84" i="2"/>
  <c r="K83" i="2"/>
  <c r="A83" i="2"/>
  <c r="K82" i="2"/>
  <c r="A82" i="2"/>
  <c r="K81" i="2"/>
  <c r="A81" i="2"/>
  <c r="K80" i="2"/>
  <c r="A80" i="2"/>
  <c r="K79" i="2"/>
  <c r="A79" i="2"/>
  <c r="K78" i="2"/>
  <c r="A78" i="2"/>
  <c r="K77" i="2"/>
  <c r="A77" i="2"/>
  <c r="K76" i="2"/>
  <c r="A76" i="2"/>
  <c r="K75" i="2"/>
  <c r="A75" i="2"/>
  <c r="K74" i="2"/>
  <c r="A74" i="2"/>
  <c r="K73" i="2"/>
  <c r="A73" i="2"/>
  <c r="K72" i="2"/>
  <c r="A72" i="2"/>
  <c r="K71" i="2"/>
  <c r="A71" i="2"/>
  <c r="K70" i="2"/>
  <c r="A70" i="2"/>
  <c r="K69" i="2"/>
  <c r="A69" i="2"/>
  <c r="K68" i="2"/>
  <c r="A68" i="2"/>
  <c r="K67" i="2"/>
  <c r="A67" i="2"/>
  <c r="K66" i="2"/>
  <c r="A66" i="2"/>
  <c r="K65" i="2"/>
  <c r="A65" i="2"/>
  <c r="K64" i="2"/>
  <c r="A64" i="2"/>
  <c r="K63" i="2"/>
  <c r="A63" i="2"/>
  <c r="K62" i="2"/>
  <c r="A62" i="2"/>
  <c r="K61" i="2"/>
  <c r="A61" i="2"/>
  <c r="K60" i="2"/>
  <c r="A60" i="2"/>
  <c r="K59" i="2"/>
  <c r="A59" i="2"/>
  <c r="K58" i="2"/>
  <c r="A58" i="2"/>
  <c r="K57" i="2"/>
  <c r="A57" i="2"/>
  <c r="K56" i="2"/>
  <c r="A56" i="2"/>
  <c r="K55" i="2"/>
  <c r="A55" i="2"/>
  <c r="K54" i="2"/>
  <c r="A54" i="2"/>
  <c r="K53" i="2"/>
  <c r="A53" i="2"/>
  <c r="K52" i="2"/>
  <c r="A52" i="2"/>
  <c r="K51" i="2"/>
  <c r="A51" i="2"/>
  <c r="K50" i="2"/>
  <c r="A50" i="2"/>
  <c r="K49" i="2"/>
  <c r="A49" i="2"/>
  <c r="K48" i="2"/>
  <c r="A48" i="2"/>
  <c r="K47" i="2"/>
  <c r="A47" i="2"/>
  <c r="K46" i="2"/>
  <c r="A46" i="2"/>
  <c r="K45" i="2"/>
  <c r="A45" i="2"/>
  <c r="K44" i="2"/>
  <c r="A44" i="2"/>
  <c r="K43" i="2"/>
  <c r="A43" i="2"/>
  <c r="K42" i="2"/>
  <c r="A42" i="2"/>
  <c r="K41" i="2"/>
  <c r="A41" i="2"/>
  <c r="K40" i="2"/>
  <c r="A40" i="2"/>
  <c r="K39" i="2"/>
  <c r="A39" i="2"/>
  <c r="K38" i="2"/>
  <c r="A38" i="2"/>
  <c r="K37" i="2"/>
  <c r="A37" i="2"/>
  <c r="K36" i="2"/>
  <c r="A36" i="2"/>
  <c r="K35" i="2"/>
  <c r="A35" i="2"/>
  <c r="K34" i="2"/>
  <c r="A34" i="2"/>
  <c r="K33" i="2"/>
  <c r="A33" i="2"/>
  <c r="K32" i="2"/>
  <c r="A32" i="2"/>
  <c r="K31" i="2"/>
  <c r="A31" i="2"/>
  <c r="K30" i="2"/>
  <c r="A30" i="2"/>
  <c r="K29" i="2"/>
  <c r="A29" i="2"/>
  <c r="K28" i="2"/>
  <c r="A28" i="2"/>
  <c r="K27" i="2"/>
  <c r="A27" i="2"/>
  <c r="K26" i="2"/>
  <c r="A26" i="2"/>
  <c r="K25" i="2"/>
  <c r="A25" i="2"/>
  <c r="K24" i="2"/>
  <c r="A24" i="2"/>
  <c r="K23" i="2"/>
  <c r="A23" i="2"/>
  <c r="K22" i="2"/>
  <c r="A22" i="2"/>
  <c r="K21" i="2"/>
  <c r="A21" i="2"/>
  <c r="K20" i="2"/>
  <c r="A20" i="2"/>
  <c r="K19" i="2"/>
  <c r="A19" i="2"/>
  <c r="K18" i="2"/>
  <c r="A18" i="2"/>
  <c r="K17" i="2"/>
  <c r="A17" i="2"/>
  <c r="K16" i="2"/>
  <c r="A16" i="2"/>
  <c r="K15" i="2"/>
  <c r="A15" i="2"/>
  <c r="K14" i="2"/>
  <c r="A14" i="2"/>
  <c r="K13" i="2"/>
  <c r="A13" i="2"/>
  <c r="K12" i="2"/>
  <c r="A12" i="2"/>
  <c r="K11" i="2"/>
  <c r="A11" i="2"/>
  <c r="S25" i="1" l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N9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N25" i="1"/>
  <c r="N24" i="1"/>
  <c r="N23" i="1"/>
  <c r="N22" i="1"/>
  <c r="N21" i="1"/>
  <c r="N20" i="1"/>
  <c r="N19" i="1"/>
  <c r="N18" i="1"/>
  <c r="N17" i="1"/>
  <c r="N16" i="1"/>
  <c r="N14" i="1"/>
  <c r="N12" i="1"/>
  <c r="N11" i="1"/>
  <c r="N10" i="1"/>
  <c r="J25" i="1"/>
  <c r="J24" i="1"/>
  <c r="J23" i="1"/>
  <c r="J22" i="1"/>
  <c r="J21" i="1"/>
  <c r="J20" i="1"/>
  <c r="J19" i="1"/>
  <c r="J18" i="1"/>
  <c r="J17" i="1"/>
  <c r="J16" i="1"/>
  <c r="J15" i="1"/>
  <c r="J14" i="1"/>
  <c r="J12" i="1"/>
  <c r="J11" i="1"/>
  <c r="J10" i="1"/>
  <c r="J9" i="1"/>
  <c r="G25" i="1"/>
  <c r="G24" i="1"/>
  <c r="G23" i="1"/>
  <c r="G22" i="1"/>
  <c r="G21" i="1"/>
  <c r="G20" i="1"/>
  <c r="G19" i="1"/>
  <c r="G18" i="1"/>
  <c r="G17" i="1"/>
  <c r="G16" i="1"/>
  <c r="G15" i="1"/>
  <c r="G14" i="1"/>
  <c r="G12" i="1"/>
  <c r="G11" i="1"/>
  <c r="G10" i="1"/>
  <c r="G9" i="1"/>
  <c r="O8" i="2" l="1"/>
  <c r="J8" i="2"/>
  <c r="D8" i="2"/>
  <c r="K7" i="2" l="1"/>
  <c r="K6" i="2"/>
  <c r="K5" i="2"/>
  <c r="K4" i="2"/>
  <c r="I10" i="1" l="1"/>
  <c r="I11" i="1"/>
  <c r="I12" i="1"/>
  <c r="C12" i="1" s="1"/>
  <c r="I14" i="1"/>
  <c r="I15" i="1"/>
  <c r="I16" i="1"/>
  <c r="I17" i="1"/>
  <c r="I18" i="1"/>
  <c r="I19" i="1"/>
  <c r="I20" i="1"/>
  <c r="I21" i="1"/>
  <c r="I22" i="1"/>
  <c r="I23" i="1"/>
  <c r="I24" i="1"/>
  <c r="I25" i="1"/>
  <c r="F10" i="1"/>
  <c r="F11" i="1"/>
  <c r="F12" i="1"/>
  <c r="F14" i="1"/>
  <c r="F15" i="1"/>
  <c r="F16" i="1"/>
  <c r="C16" i="1" s="1"/>
  <c r="F17" i="1"/>
  <c r="F18" i="1"/>
  <c r="C18" i="1" s="1"/>
  <c r="F19" i="1"/>
  <c r="C19" i="1" s="1"/>
  <c r="F20" i="1"/>
  <c r="C20" i="1" s="1"/>
  <c r="F21" i="1"/>
  <c r="F22" i="1"/>
  <c r="C22" i="1" s="1"/>
  <c r="F23" i="1"/>
  <c r="C23" i="1" s="1"/>
  <c r="F24" i="1"/>
  <c r="C24" i="1" s="1"/>
  <c r="F25" i="1"/>
  <c r="C10" i="1"/>
  <c r="C11" i="1"/>
  <c r="C13" i="1"/>
  <c r="C14" i="1"/>
  <c r="C15" i="1"/>
  <c r="K24" i="1"/>
  <c r="K23" i="1"/>
  <c r="K20" i="1"/>
  <c r="K19" i="1"/>
  <c r="K16" i="1"/>
  <c r="K15" i="1"/>
  <c r="K12" i="1"/>
  <c r="K11" i="1"/>
  <c r="D25" i="1"/>
  <c r="H24" i="1"/>
  <c r="H23" i="1"/>
  <c r="D22" i="1"/>
  <c r="D21" i="1"/>
  <c r="D20" i="1"/>
  <c r="H19" i="1"/>
  <c r="D18" i="1"/>
  <c r="D17" i="1"/>
  <c r="D16" i="1"/>
  <c r="H15" i="1"/>
  <c r="D14" i="1"/>
  <c r="H12" i="1"/>
  <c r="H11" i="1"/>
  <c r="D10" i="1"/>
  <c r="D9" i="1"/>
  <c r="M25" i="1"/>
  <c r="M24" i="1"/>
  <c r="M22" i="1"/>
  <c r="M21" i="1"/>
  <c r="M20" i="1"/>
  <c r="M18" i="1"/>
  <c r="M17" i="1"/>
  <c r="M16" i="1"/>
  <c r="M14" i="1"/>
  <c r="M12" i="1"/>
  <c r="L25" i="1"/>
  <c r="L24" i="1"/>
  <c r="L23" i="1"/>
  <c r="L22" i="1"/>
  <c r="L21" i="1"/>
  <c r="L20" i="1"/>
  <c r="L19" i="1"/>
  <c r="L18" i="1"/>
  <c r="L17" i="1"/>
  <c r="L16" i="1"/>
  <c r="N15" i="1"/>
  <c r="L15" i="1" s="1"/>
  <c r="L14" i="1"/>
  <c r="L10" i="1"/>
  <c r="L11" i="1"/>
  <c r="L12" i="1"/>
  <c r="L9" i="1"/>
  <c r="B8" i="1"/>
  <c r="I9" i="1"/>
  <c r="F9" i="1"/>
  <c r="I5" i="2"/>
  <c r="I4" i="2"/>
  <c r="F5" i="2"/>
  <c r="F4" i="2"/>
  <c r="C6" i="2"/>
  <c r="C5" i="2"/>
  <c r="C4" i="2"/>
  <c r="C25" i="1" l="1"/>
  <c r="C21" i="1"/>
  <c r="C17" i="1"/>
  <c r="K8" i="2"/>
  <c r="M9" i="1"/>
  <c r="M11" i="1"/>
  <c r="M15" i="1"/>
  <c r="M19" i="1"/>
  <c r="M23" i="1"/>
  <c r="M10" i="1"/>
  <c r="E14" i="1"/>
  <c r="E10" i="1"/>
  <c r="E22" i="1"/>
  <c r="E18" i="1"/>
  <c r="D24" i="1"/>
  <c r="E24" i="1" s="1"/>
  <c r="D12" i="1"/>
  <c r="E12" i="1" s="1"/>
  <c r="E25" i="1"/>
  <c r="E21" i="1"/>
  <c r="E17" i="1"/>
  <c r="D23" i="1"/>
  <c r="E23" i="1" s="1"/>
  <c r="D19" i="1"/>
  <c r="E19" i="1" s="1"/>
  <c r="D15" i="1"/>
  <c r="E15" i="1" s="1"/>
  <c r="D11" i="1"/>
  <c r="E20" i="1"/>
  <c r="E16" i="1"/>
  <c r="H10" i="1"/>
  <c r="H14" i="1"/>
  <c r="H18" i="1"/>
  <c r="H22" i="1"/>
  <c r="K10" i="1"/>
  <c r="K14" i="1"/>
  <c r="K18" i="1"/>
  <c r="K22" i="1"/>
  <c r="I8" i="1"/>
  <c r="H17" i="1"/>
  <c r="H21" i="1"/>
  <c r="H25" i="1"/>
  <c r="K17" i="1"/>
  <c r="K21" i="1"/>
  <c r="K25" i="1"/>
  <c r="R8" i="1"/>
  <c r="S8" i="1"/>
  <c r="F8" i="1"/>
  <c r="Q8" i="1"/>
  <c r="H20" i="1"/>
  <c r="H16" i="1"/>
  <c r="C9" i="1"/>
  <c r="N8" i="1"/>
  <c r="P8" i="1"/>
  <c r="O8" i="1"/>
  <c r="C7" i="2"/>
  <c r="F7" i="2"/>
  <c r="J8" i="1"/>
  <c r="K9" i="1"/>
  <c r="G8" i="1"/>
  <c r="H8" i="1" s="1"/>
  <c r="H9" i="1"/>
  <c r="K8" i="1" l="1"/>
  <c r="D8" i="1"/>
  <c r="E11" i="1"/>
  <c r="C8" i="1"/>
  <c r="E9" i="1"/>
  <c r="M8" i="1"/>
  <c r="L8" i="1"/>
  <c r="E8" i="1" l="1"/>
</calcChain>
</file>

<file path=xl/sharedStrings.xml><?xml version="1.0" encoding="utf-8"?>
<sst xmlns="http://schemas.openxmlformats.org/spreadsheetml/2006/main" count="805" uniqueCount="437">
  <si>
    <t>임시연번</t>
    <phoneticPr fontId="3" type="noConversion"/>
  </si>
  <si>
    <t>시도</t>
    <phoneticPr fontId="3" type="noConversion"/>
  </si>
  <si>
    <t>시군구</t>
    <phoneticPr fontId="3" type="noConversion"/>
  </si>
  <si>
    <t>읍면동</t>
    <phoneticPr fontId="3" type="noConversion"/>
  </si>
  <si>
    <t>시설종류</t>
    <phoneticPr fontId="3" type="noConversion"/>
  </si>
  <si>
    <t>용도</t>
    <phoneticPr fontId="3" type="noConversion"/>
  </si>
  <si>
    <t>급수시설 세부 현황 데이터</t>
    <phoneticPr fontId="3" type="noConversion"/>
  </si>
  <si>
    <t>민방위 비상급수시설 명</t>
    <phoneticPr fontId="3" type="noConversion"/>
  </si>
  <si>
    <t>소재지 도로명 주소</t>
    <phoneticPr fontId="3" type="noConversion"/>
  </si>
  <si>
    <t>소재지 지번주소</t>
    <phoneticPr fontId="3" type="noConversion"/>
  </si>
  <si>
    <t>급수능력(일일 생산능력/톤)</t>
    <phoneticPr fontId="3" type="noConversion"/>
  </si>
  <si>
    <t>시설 지정연도(정부시설 제외)</t>
    <phoneticPr fontId="3" type="noConversion"/>
  </si>
  <si>
    <t>일일 사용가능인원</t>
    <phoneticPr fontId="3" type="noConversion"/>
  </si>
  <si>
    <t>서울</t>
    <phoneticPr fontId="3" type="noConversion"/>
  </si>
  <si>
    <t>공공용</t>
  </si>
  <si>
    <t>음용수</t>
    <phoneticPr fontId="3" type="noConversion"/>
  </si>
  <si>
    <t>정부지원</t>
    <phoneticPr fontId="3" type="noConversion"/>
  </si>
  <si>
    <t>시설 건축(구축)연도</t>
    <phoneticPr fontId="3" type="noConversion"/>
  </si>
  <si>
    <t>음용수</t>
    <phoneticPr fontId="3" type="noConversion"/>
  </si>
  <si>
    <t>생활용수</t>
    <phoneticPr fontId="3" type="noConversion"/>
  </si>
  <si>
    <t>생활용수</t>
    <phoneticPr fontId="3" type="noConversion"/>
  </si>
  <si>
    <t>지자체</t>
    <phoneticPr fontId="3" type="noConversion"/>
  </si>
  <si>
    <t>공공용</t>
    <phoneticPr fontId="3" type="noConversion"/>
  </si>
  <si>
    <t>17년 지정해제(지자체/공공용)</t>
    <phoneticPr fontId="3" type="noConversion"/>
  </si>
  <si>
    <t>정보이력 변경현황</t>
    <phoneticPr fontId="3" type="noConversion"/>
  </si>
  <si>
    <t>17년 정부지원 신규구축</t>
    <phoneticPr fontId="3" type="noConversion"/>
  </si>
  <si>
    <t>17년 정부지원 폐공현황</t>
    <phoneticPr fontId="3" type="noConversion"/>
  </si>
  <si>
    <t>17년 신규지정(지자체/공공용)</t>
    <phoneticPr fontId="3" type="noConversion"/>
  </si>
  <si>
    <t>계</t>
    <phoneticPr fontId="3" type="noConversion"/>
  </si>
  <si>
    <t xml:space="preserve">계 </t>
    <phoneticPr fontId="3" type="noConversion"/>
  </si>
  <si>
    <t>지정해제(개소)</t>
    <phoneticPr fontId="3" type="noConversion"/>
  </si>
  <si>
    <t>이력변경</t>
    <phoneticPr fontId="3" type="noConversion"/>
  </si>
  <si>
    <t>비고(신규구축, 폐공, 지정해제, 신규구축)</t>
    <phoneticPr fontId="3" type="noConversion"/>
  </si>
  <si>
    <t>지역별</t>
    <phoneticPr fontId="3" type="noConversion"/>
  </si>
  <si>
    <t>부산</t>
    <phoneticPr fontId="3" type="noConversion"/>
  </si>
  <si>
    <t>대구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</si>
  <si>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</si>
  <si>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</si>
  <si>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</si>
  <si>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</si>
  <si>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</si>
  <si>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</si>
  <si>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</si>
  <si>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</si>
  <si>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</si>
  <si>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</si>
  <si>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</si>
  <si>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</si>
  <si>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</si>
  <si>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</si>
  <si>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대상인구(명)</t>
    <phoneticPr fontId="3" type="noConversion"/>
  </si>
  <si>
    <t>급수 소요량 대비 확보율</t>
    <phoneticPr fontId="3" type="noConversion"/>
  </si>
  <si>
    <t>개소</t>
    <phoneticPr fontId="3" type="noConversion"/>
  </si>
  <si>
    <t>톤/일</t>
    <phoneticPr fontId="3" type="noConversion"/>
  </si>
  <si>
    <t>시설별 확보현황</t>
    <phoneticPr fontId="3" type="noConversion"/>
  </si>
  <si>
    <t>정부지원 시설</t>
    <phoneticPr fontId="3" type="noConversion"/>
  </si>
  <si>
    <t>지자체 시설</t>
    <phoneticPr fontId="3" type="noConversion"/>
  </si>
  <si>
    <t>공공용 시설</t>
    <phoneticPr fontId="3" type="noConversion"/>
  </si>
  <si>
    <t>소요량(톤)</t>
    <phoneticPr fontId="3" type="noConversion"/>
  </si>
  <si>
    <t>확보량(톤)</t>
    <phoneticPr fontId="3" type="noConversion"/>
  </si>
  <si>
    <t>확보율(%)</t>
    <phoneticPr fontId="3" type="noConversion"/>
  </si>
  <si>
    <t>확보량(톤)</t>
    <phoneticPr fontId="3" type="noConversion"/>
  </si>
  <si>
    <t>소요량(톤)</t>
    <phoneticPr fontId="3" type="noConversion"/>
  </si>
  <si>
    <t>확보량(톤)</t>
    <phoneticPr fontId="3" type="noConversion"/>
  </si>
  <si>
    <t>확보율(%)</t>
    <phoneticPr fontId="3" type="noConversion"/>
  </si>
  <si>
    <t>신규지정 및 신축(개소)</t>
    <phoneticPr fontId="3" type="noConversion"/>
  </si>
  <si>
    <t>*자료입력 수 및 합계</t>
    <phoneticPr fontId="3" type="noConversion"/>
  </si>
  <si>
    <t>신규구축</t>
    <phoneticPr fontId="3" type="noConversion"/>
  </si>
  <si>
    <t>신규지정</t>
    <phoneticPr fontId="3" type="noConversion"/>
  </si>
  <si>
    <t>지정해제</t>
    <phoneticPr fontId="3" type="noConversion"/>
  </si>
  <si>
    <t>폐공</t>
    <phoneticPr fontId="3" type="noConversion"/>
  </si>
  <si>
    <t>생활용수</t>
  </si>
  <si>
    <t>인천광역시 서구 도요지로 37 (경서동)</t>
  </si>
  <si>
    <t>인천광역시 서구 심곡로100번길 8-13 (심곡동)</t>
  </si>
  <si>
    <t>녹지관리사업소</t>
  </si>
  <si>
    <t>인천광역시 서구 봉수대로 755 (연희동)</t>
  </si>
  <si>
    <t>녹지관리사업소(w-1)</t>
  </si>
  <si>
    <t>인천교회</t>
  </si>
  <si>
    <t>인천광역시 서구 심곡로194번길 40 (공촌동)</t>
  </si>
  <si>
    <t>이용옥</t>
  </si>
  <si>
    <t>인천광역시 서구 경명대로 725-23 (공촌동)</t>
  </si>
  <si>
    <t>김용희</t>
  </si>
  <si>
    <t>인천광역시 서구 연희동  16번지 1  호</t>
  </si>
  <si>
    <t>동호목용탕</t>
  </si>
  <si>
    <t>인천광역시 서구 경명대로 664 (공촌동)</t>
  </si>
  <si>
    <t>대양개발</t>
  </si>
  <si>
    <t>인천광역시 서구 공촌동  산163번지 2   호</t>
  </si>
  <si>
    <t>김미화</t>
  </si>
  <si>
    <t>인천광역시 서구 심곡로124번길 14 (심곡동)</t>
  </si>
  <si>
    <t>보령주유소</t>
  </si>
  <si>
    <t>인천광역시 서구 심곡로 209 (연희동)</t>
  </si>
  <si>
    <t>연희동</t>
  </si>
  <si>
    <t>가정1동</t>
  </si>
  <si>
    <t>동아상가</t>
  </si>
  <si>
    <t>인천광역시 서구 가정로 378 (가정동)</t>
  </si>
  <si>
    <t>가정3동</t>
  </si>
  <si>
    <t>진흥아파트</t>
  </si>
  <si>
    <t>인천광역시 서구 서달로179번길 6-10 (가정동)</t>
  </si>
  <si>
    <t>대진아파트(1단지)</t>
  </si>
  <si>
    <t>인천광역시 서구 서달로193번길 4 (가정동)</t>
  </si>
  <si>
    <t>신현원창동</t>
  </si>
  <si>
    <t>해성카센터</t>
  </si>
  <si>
    <t>인천광역시 서구 원창로 180 (신현동)</t>
  </si>
  <si>
    <t>이환수</t>
  </si>
  <si>
    <t>인천광역시 서구 가정로335번길 32-3 (신현동)</t>
  </si>
  <si>
    <t>손동섭</t>
  </si>
  <si>
    <t>인천광역시 서구 가정로335번길 32-19 (신현동)</t>
  </si>
  <si>
    <t>이희진</t>
  </si>
  <si>
    <t>인천광역시 서구 새오개로95번길 2 (신현동)</t>
  </si>
  <si>
    <t>신현동 114-10</t>
  </si>
  <si>
    <t>인성세차장</t>
  </si>
  <si>
    <t>인천광역시 서구 원창로 170 (신현동)</t>
  </si>
  <si>
    <t>신현동 78-1</t>
  </si>
  <si>
    <t>신현교회</t>
  </si>
  <si>
    <t>인천광역시 서구 신현로 13 (신현동)</t>
  </si>
  <si>
    <t>신현동 292-5</t>
  </si>
  <si>
    <t>신화목욕탕</t>
  </si>
  <si>
    <t>인천광역시 서구 율도로65번길 18-12 (신현동)</t>
  </si>
  <si>
    <t>신현동 283-17</t>
  </si>
  <si>
    <t>지광욱</t>
  </si>
  <si>
    <t>인천광역시 서구 원창로68번길 13 (원창동)</t>
  </si>
  <si>
    <t>원창동 95-18</t>
  </si>
  <si>
    <t>삼정가스공업</t>
  </si>
  <si>
    <t>인천광역시 서구 봉수대로501번길 3 (신현동)</t>
  </si>
  <si>
    <t>신현동 224</t>
  </si>
  <si>
    <t>신현24시불가마사우나</t>
  </si>
  <si>
    <t>인천광역시 서구 율도로 25 (신현동)</t>
  </si>
  <si>
    <t>신현동 152-46</t>
  </si>
  <si>
    <t>석남1동</t>
  </si>
  <si>
    <t>황부업</t>
  </si>
  <si>
    <t>인천광역시 서구 율도로16번길 5-1 (석남동)</t>
  </si>
  <si>
    <t>석남1동 202</t>
  </si>
  <si>
    <t>에버랜드모텔</t>
  </si>
  <si>
    <t>인천광역시 서구 옻우물로 25 (석남동)</t>
  </si>
  <si>
    <t>석남1동 509-26</t>
  </si>
  <si>
    <t>기독교대한성결교회</t>
  </si>
  <si>
    <t>인천광역시 서구 옻우물로8번길 19 (석남동)</t>
  </si>
  <si>
    <t>석남1동 501-4</t>
  </si>
  <si>
    <t>연안빌딩</t>
  </si>
  <si>
    <t>인천광역시 서구 가정로 252 (석남동)</t>
  </si>
  <si>
    <t>석남1동 510-7</t>
  </si>
  <si>
    <t>석남2동</t>
  </si>
  <si>
    <t>보보스타운</t>
  </si>
  <si>
    <t>인천광역시 서구 가정로 172 (석남동)</t>
  </si>
  <si>
    <t>석남동 579번지 7호</t>
  </si>
  <si>
    <t>송가네칼국수(이양훈)</t>
  </si>
  <si>
    <t>인천광역시 서구 길주로 84 (석남동)</t>
  </si>
  <si>
    <t>석남동 533번지 3호</t>
  </si>
  <si>
    <t>석남3동</t>
  </si>
  <si>
    <t>석남약수터</t>
  </si>
  <si>
    <t>인천광역시 서구 서달로 110 (석남동)</t>
  </si>
  <si>
    <t>석남동 151</t>
  </si>
  <si>
    <t>김병태</t>
  </si>
  <si>
    <t>인천광역시 서구 서달로130번길 29-15 (석남동)</t>
  </si>
  <si>
    <t>석남동 111-49</t>
  </si>
  <si>
    <t>권희만</t>
  </si>
  <si>
    <t>인천광역시 서구 서달로116번길 36-30 (석남동)</t>
  </si>
  <si>
    <t>석남동 111-1</t>
  </si>
  <si>
    <t>오문자</t>
  </si>
  <si>
    <t>인천광역시 서구 건지로311번길 33-1 (석남동)</t>
  </si>
  <si>
    <t>석남동 557-25</t>
  </si>
  <si>
    <t>유종선</t>
  </si>
  <si>
    <t>인천광역시 서구  서달로20번길  5</t>
  </si>
  <si>
    <t>석남동 산23-17</t>
  </si>
  <si>
    <t>마가의다락방</t>
  </si>
  <si>
    <t>인천광역시 서구 서달로20번길 67 (석남동)</t>
  </si>
  <si>
    <t>석남동 산16-1</t>
  </si>
  <si>
    <t>엘림기도원</t>
  </si>
  <si>
    <t>인천광역시 서구 서달로20번길 57 (석남동)</t>
  </si>
  <si>
    <t>석남동 산17</t>
  </si>
  <si>
    <t>청수불가마사우나</t>
  </si>
  <si>
    <t>인천광역시 서구 서달로 149번길 6-8(석남동)</t>
  </si>
  <si>
    <t>석남동 470-6</t>
  </si>
  <si>
    <t>가좌1동</t>
  </si>
  <si>
    <t>예화여고</t>
  </si>
  <si>
    <t>인천광역시 서구 가정로 150 (가좌동)</t>
  </si>
  <si>
    <t>가좌동114-83</t>
  </si>
  <si>
    <t>광성해수피아A</t>
  </si>
  <si>
    <t>인천광역시 서구 봉수대로 253 (가좌동)</t>
  </si>
  <si>
    <t>가좌동173-352</t>
  </si>
  <si>
    <t>광성해수피아B</t>
  </si>
  <si>
    <t>인천광역시 서구 봉수대로 257 (가좌동)</t>
  </si>
  <si>
    <t>가좌동173-170</t>
  </si>
  <si>
    <t>가좌2동</t>
  </si>
  <si>
    <t>해동슈퍼</t>
  </si>
  <si>
    <t>인천광역시 서구 건지로399번길 9-1 (가좌동)</t>
  </si>
  <si>
    <t>가좌동 78-12</t>
  </si>
  <si>
    <t>벧엘교회</t>
  </si>
  <si>
    <t>인천광역시 서구 원적로 150-12 (가좌동)</t>
  </si>
  <si>
    <t>가좌동 81-4</t>
  </si>
  <si>
    <t>프라자목욕탕</t>
  </si>
  <si>
    <t>인천광역시 서구 원적로96번길 26 (가좌동)</t>
  </si>
  <si>
    <t>가좌동 30-48</t>
  </si>
  <si>
    <t>현대상가(2층세탁소)</t>
  </si>
  <si>
    <t>인천광역시 서구 건지로399번길 23-2 (가좌동)</t>
  </si>
  <si>
    <t>가좌동 81-10</t>
  </si>
  <si>
    <t>로얄사우나</t>
  </si>
  <si>
    <t>인천광역시 서구 원적로 100 (가좌동)</t>
  </si>
  <si>
    <t>가좌동 30동 49호</t>
  </si>
  <si>
    <t>가좌3동</t>
  </si>
  <si>
    <t>김종만</t>
  </si>
  <si>
    <t>인천광역시 서구 원적로 103 (가좌동)</t>
  </si>
  <si>
    <t>가좌3동 122-5</t>
  </si>
  <si>
    <t>박종근</t>
  </si>
  <si>
    <t>인천광역시 서구 건지로334번길 8 (가좌동)</t>
  </si>
  <si>
    <t>가좌3동 174-96</t>
  </si>
  <si>
    <t>홍달인</t>
  </si>
  <si>
    <t>인천광역시 서구 원적로 127-1 (가좌동)</t>
  </si>
  <si>
    <t>가좌3동 82-7</t>
  </si>
  <si>
    <t>손순락</t>
  </si>
  <si>
    <t>인천광역시 서구 가석로 130-4 (가좌동)</t>
  </si>
  <si>
    <t>가좌3동 192-29</t>
  </si>
  <si>
    <t>경인설비</t>
  </si>
  <si>
    <t>인천광역시 서구 원적로47번길 26-3 (가좌동)</t>
  </si>
  <si>
    <t>가좌3동 215-11</t>
  </si>
  <si>
    <t>최중효</t>
  </si>
  <si>
    <t>인천광역시 서구 건지로318번길 40-3 (가좌동)</t>
  </si>
  <si>
    <t>가좌3동 260-16</t>
  </si>
  <si>
    <t>공재형</t>
  </si>
  <si>
    <t>인천광역시 서구 건지로366번길 3 (가좌동)</t>
  </si>
  <si>
    <t>가좌3동 95</t>
  </si>
  <si>
    <t>철마농원</t>
  </si>
  <si>
    <t>인천광역시 서구 원적로 173-5 (가좌동)</t>
  </si>
  <si>
    <t>가좌3동 76-4</t>
  </si>
  <si>
    <t>이기동</t>
  </si>
  <si>
    <t>인천광역시 서구 건지로366번길 1 (가좌동)</t>
  </si>
  <si>
    <t>가좌3동 82(492-1)</t>
  </si>
  <si>
    <t>유종오</t>
  </si>
  <si>
    <t>인천광역시 서구 건지로 369 (가좌동)</t>
  </si>
  <si>
    <t>가좌3동 92-1</t>
  </si>
  <si>
    <t>천마사</t>
  </si>
  <si>
    <t>인천광역시 서구 원적로 173-21 (가좌동)</t>
  </si>
  <si>
    <t>가좌3동 산12-3</t>
  </si>
  <si>
    <t>서상구</t>
  </si>
  <si>
    <t>인천광역시 서구 원적로 163-22 (가좌동)</t>
  </si>
  <si>
    <t>가좌3동 81-78(산7)</t>
  </si>
  <si>
    <t>청기와집</t>
  </si>
  <si>
    <t>인천광역시 서구 원적로 163-10 (가좌동)</t>
  </si>
  <si>
    <t>가좌3동 산8</t>
  </si>
  <si>
    <t>지명수</t>
  </si>
  <si>
    <t>인천광역시 서구 건지로328번길 3-3 (가좌동)</t>
  </si>
  <si>
    <t>가좌3동 174-25</t>
  </si>
  <si>
    <t>김삼석</t>
  </si>
  <si>
    <t>인천광역시 서구 가석로 130-3 (가좌동)</t>
  </si>
  <si>
    <t>가좌3동 192-28</t>
  </si>
  <si>
    <t>검단1동</t>
  </si>
  <si>
    <t xml:space="preserve">가현주유소   </t>
  </si>
  <si>
    <t>인천광역시 서구 봉수대로 1623 (금곡동)</t>
  </si>
  <si>
    <t>금곡동 372-2</t>
  </si>
  <si>
    <t>공영숙꿩만두(구선운산음식점)</t>
  </si>
  <si>
    <t>인천광역시 서구 봉수대로 1615 (금곡동)</t>
  </si>
  <si>
    <t>금곡동 372-6</t>
  </si>
  <si>
    <t>서곶길가스충전소</t>
  </si>
  <si>
    <t>인천광역시 서구 봉수대로 1539 (금곡동)</t>
  </si>
  <si>
    <t>금곡동 237-3</t>
  </si>
  <si>
    <t>동길주유소</t>
  </si>
  <si>
    <t>인천광역시 서구 마전동  368번지 1   호</t>
  </si>
  <si>
    <t>마전동 368-1</t>
  </si>
  <si>
    <t>검단2동</t>
  </si>
  <si>
    <t>수정교회</t>
  </si>
  <si>
    <t>인천광역시 서구 불로동 416번지 4호</t>
  </si>
  <si>
    <t>불로동 416-4</t>
  </si>
  <si>
    <t>한길주유소</t>
  </si>
  <si>
    <t>인천광역시 서구 검단로 855-2 (불로동)</t>
  </si>
  <si>
    <t>불로동 185-1</t>
  </si>
  <si>
    <t>문희명</t>
  </si>
  <si>
    <t>인천광역시 서구 대곡동  533번지  1   호</t>
  </si>
  <si>
    <t>대곡동 533-1</t>
  </si>
  <si>
    <t>신현범</t>
  </si>
  <si>
    <t>인천광역시 서구 대곡동  175번지 5   호</t>
  </si>
  <si>
    <t>대곡동 59-3</t>
  </si>
  <si>
    <t>검단3동</t>
  </si>
  <si>
    <t>워터스코리아</t>
  </si>
  <si>
    <t>인천광역시 서구 원당동  529번지  1  호</t>
  </si>
  <si>
    <t>서구 영어마을</t>
  </si>
  <si>
    <t>인천광역시 서구 원당동 555번지</t>
  </si>
  <si>
    <t>원당동 555번지</t>
  </si>
  <si>
    <t>이정임</t>
  </si>
  <si>
    <t>인천광역시 서구 원당동 419번지</t>
  </si>
  <si>
    <t>원당동 419번지</t>
  </si>
  <si>
    <t>허길행</t>
  </si>
  <si>
    <t>인천광역시 서구 원당동 414번지 1호</t>
  </si>
  <si>
    <t>원당동 414번지 1호</t>
  </si>
  <si>
    <t>조영철</t>
  </si>
  <si>
    <t>인천광역시 서구  원당대로819번길  38 (원당동)</t>
  </si>
  <si>
    <t>원당동 817번지</t>
  </si>
  <si>
    <t>김현준</t>
  </si>
  <si>
    <t>인천광역시 서구  고산로40번2길  21 (원당동)</t>
  </si>
  <si>
    <t>원당동 839번지</t>
  </si>
  <si>
    <t>이우영</t>
  </si>
  <si>
    <t>인천광역시 서구 당하동 350번지 2호</t>
  </si>
  <si>
    <t>당하동 350번지 2호</t>
  </si>
  <si>
    <t>검단4동</t>
  </si>
  <si>
    <t>검단농협주유소</t>
  </si>
  <si>
    <t>인천광역시 서구 서곶로 793 (당하동)</t>
  </si>
  <si>
    <t>당하동 1086-3</t>
  </si>
  <si>
    <t>검단5동</t>
  </si>
  <si>
    <t>검단식품</t>
  </si>
  <si>
    <t>인천광역시 서구 드림로209번길 43 (왕길동)</t>
  </si>
  <si>
    <t>내리기도원</t>
  </si>
  <si>
    <t>인천광역시 서구 봉수대로 1369-9 (왕길동)</t>
  </si>
  <si>
    <t>이기철</t>
  </si>
  <si>
    <t>인천광역시 서구 봉화로 99 (오류동)</t>
  </si>
  <si>
    <t>오류동 90번지</t>
  </si>
  <si>
    <t>인천</t>
    <phoneticPr fontId="36" type="noConversion"/>
  </si>
  <si>
    <t>서구</t>
    <phoneticPr fontId="36" type="noConversion"/>
  </si>
  <si>
    <t>공촌동</t>
    <phoneticPr fontId="36" type="noConversion"/>
  </si>
  <si>
    <t>정부지원</t>
    <phoneticPr fontId="36" type="noConversion"/>
  </si>
  <si>
    <t>음용수</t>
    <phoneticPr fontId="36" type="noConversion"/>
  </si>
  <si>
    <t>대인고등학교</t>
    <phoneticPr fontId="36" type="noConversion"/>
  </si>
  <si>
    <t>서구 서곶로 446(공촌동)</t>
    <phoneticPr fontId="36" type="noConversion"/>
  </si>
  <si>
    <t>인천.서공촌동47-3</t>
    <phoneticPr fontId="36" type="noConversion"/>
  </si>
  <si>
    <t>석남동</t>
    <phoneticPr fontId="36" type="noConversion"/>
  </si>
  <si>
    <t>지자체</t>
    <phoneticPr fontId="36" type="noConversion"/>
  </si>
  <si>
    <t>석남체육공원</t>
    <phoneticPr fontId="36" type="noConversion"/>
  </si>
  <si>
    <t>가정로 294번길 20(석남동)</t>
    <phoneticPr fontId="36" type="noConversion"/>
  </si>
  <si>
    <t>인천.서석남1동 483번지</t>
    <phoneticPr fontId="36" type="noConversion"/>
  </si>
  <si>
    <t>가좌동</t>
    <phoneticPr fontId="36" type="noConversion"/>
  </si>
  <si>
    <t>가좌초등학교</t>
    <phoneticPr fontId="36" type="noConversion"/>
  </si>
  <si>
    <t>장고개로 309번길5(가좌동)</t>
    <phoneticPr fontId="36" type="noConversion"/>
  </si>
  <si>
    <t>인천.서.가좌2동 30-87</t>
    <phoneticPr fontId="36" type="noConversion"/>
  </si>
  <si>
    <t>가재울공원</t>
    <phoneticPr fontId="36" type="noConversion"/>
  </si>
  <si>
    <t>고래울로35(가좌동)</t>
    <phoneticPr fontId="36" type="noConversion"/>
  </si>
  <si>
    <t>인천.서. 가좌4동 354</t>
    <phoneticPr fontId="36" type="noConversion"/>
  </si>
  <si>
    <t>가좌체육공원</t>
    <phoneticPr fontId="36" type="noConversion"/>
  </si>
  <si>
    <t>고래룰로 12(가좌동)</t>
    <phoneticPr fontId="36" type="noConversion"/>
  </si>
  <si>
    <t>인천.서.가좌4동 339번지</t>
    <phoneticPr fontId="36" type="noConversion"/>
  </si>
  <si>
    <t>심곡동</t>
    <phoneticPr fontId="36" type="noConversion"/>
  </si>
  <si>
    <t>갈마공원</t>
    <phoneticPr fontId="36" type="noConversion"/>
  </si>
  <si>
    <t>승학로272번길 13(심곡동)</t>
    <phoneticPr fontId="36" type="noConversion"/>
  </si>
  <si>
    <t>인천.서.심곡동 238-5</t>
    <phoneticPr fontId="36" type="noConversion"/>
  </si>
  <si>
    <t>생활용수</t>
    <phoneticPr fontId="36" type="noConversion"/>
  </si>
  <si>
    <t>가좌근린공원</t>
    <phoneticPr fontId="36" type="noConversion"/>
  </si>
  <si>
    <t>장고개로 287번길25(가좌동)</t>
    <phoneticPr fontId="36" type="noConversion"/>
  </si>
  <si>
    <t>인천.서. 가좌2동 220 외3필지</t>
    <phoneticPr fontId="36" type="noConversion"/>
  </si>
  <si>
    <t>검암경서동</t>
    <phoneticPr fontId="36" type="noConversion"/>
  </si>
  <si>
    <t>생황용수</t>
    <phoneticPr fontId="36" type="noConversion"/>
  </si>
  <si>
    <t>㈜ 신태진</t>
    <phoneticPr fontId="36" type="noConversion"/>
  </si>
  <si>
    <t>경서동 438-22</t>
    <phoneticPr fontId="36" type="noConversion"/>
  </si>
  <si>
    <t>인천</t>
    <phoneticPr fontId="36" type="noConversion"/>
  </si>
  <si>
    <t>서구</t>
    <phoneticPr fontId="36" type="noConversion"/>
  </si>
  <si>
    <t>검암경서동</t>
    <phoneticPr fontId="36" type="noConversion"/>
  </si>
  <si>
    <t>경서동 438-21</t>
    <phoneticPr fontId="36" type="noConversion"/>
  </si>
  <si>
    <t>연희동</t>
    <phoneticPr fontId="36" type="noConversion"/>
  </si>
  <si>
    <t>음용수</t>
    <phoneticPr fontId="36" type="noConversion"/>
  </si>
  <si>
    <t>소방본부 소방교육대</t>
    <phoneticPr fontId="36" type="noConversion"/>
  </si>
  <si>
    <t>연희동 산48</t>
    <phoneticPr fontId="36" type="noConversion"/>
  </si>
  <si>
    <t>생활용수</t>
    <phoneticPr fontId="36" type="noConversion"/>
  </si>
  <si>
    <t>연희동 산129</t>
    <phoneticPr fontId="36" type="noConversion"/>
  </si>
  <si>
    <t>연희동 산143-1</t>
    <phoneticPr fontId="36" type="noConversion"/>
  </si>
  <si>
    <t>공촌동 106-41</t>
    <phoneticPr fontId="36" type="noConversion"/>
  </si>
  <si>
    <t>1998--10-02</t>
    <phoneticPr fontId="36" type="noConversion"/>
  </si>
  <si>
    <t>공촌동 112</t>
    <phoneticPr fontId="36" type="noConversion"/>
  </si>
  <si>
    <t>인천</t>
    <phoneticPr fontId="36" type="noConversion"/>
  </si>
  <si>
    <t>서구</t>
    <phoneticPr fontId="36" type="noConversion"/>
  </si>
  <si>
    <t>연희동</t>
    <phoneticPr fontId="36" type="noConversion"/>
  </si>
  <si>
    <t>공촌동 16-1</t>
    <phoneticPr fontId="36" type="noConversion"/>
  </si>
  <si>
    <t>인천</t>
    <phoneticPr fontId="36" type="noConversion"/>
  </si>
  <si>
    <t>서구</t>
    <phoneticPr fontId="36" type="noConversion"/>
  </si>
  <si>
    <t>연희동</t>
    <phoneticPr fontId="36" type="noConversion"/>
  </si>
  <si>
    <t>공촌동 309</t>
    <phoneticPr fontId="36" type="noConversion"/>
  </si>
  <si>
    <t>공촌동 산163-2</t>
    <phoneticPr fontId="36" type="noConversion"/>
  </si>
  <si>
    <t>심곡동 13-2</t>
    <phoneticPr fontId="36" type="noConversion"/>
  </si>
  <si>
    <t>인천</t>
    <phoneticPr fontId="36" type="noConversion"/>
  </si>
  <si>
    <t>서구</t>
    <phoneticPr fontId="36" type="noConversion"/>
  </si>
  <si>
    <t>연희동</t>
    <phoneticPr fontId="36" type="noConversion"/>
  </si>
  <si>
    <t>연희동 695-2</t>
    <phoneticPr fontId="36" type="noConversion"/>
  </si>
  <si>
    <t>녹주불가마사우나</t>
    <phoneticPr fontId="35" type="noConversion"/>
  </si>
  <si>
    <t>인천광역시 서구 심곡로 49번길 지하 7(심곡동)</t>
    <phoneticPr fontId="35" type="noConversion"/>
  </si>
  <si>
    <t>심곡동 252-6</t>
    <phoneticPr fontId="35" type="noConversion"/>
  </si>
  <si>
    <t>가정동 505</t>
    <phoneticPr fontId="36" type="noConversion"/>
  </si>
  <si>
    <t>가정동 564</t>
    <phoneticPr fontId="36" type="noConversion"/>
  </si>
  <si>
    <t>가정동 563-1</t>
    <phoneticPr fontId="36" type="noConversion"/>
  </si>
  <si>
    <t>신현동278</t>
    <phoneticPr fontId="36" type="noConversion"/>
  </si>
  <si>
    <t>신현동 289-12</t>
    <phoneticPr fontId="36" type="noConversion"/>
  </si>
  <si>
    <t>인천</t>
    <phoneticPr fontId="36" type="noConversion"/>
  </si>
  <si>
    <t>서구</t>
    <phoneticPr fontId="36" type="noConversion"/>
  </si>
  <si>
    <t>신현동 289-19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</si>
  <si>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</si>
  <si>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</si>
  <si>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</si>
  <si>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</si>
  <si>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</si>
  <si>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</si>
  <si>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</si>
  <si>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</si>
  <si>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</si>
  <si>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</si>
  <si>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</si>
  <si>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</si>
  <si>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</si>
  <si>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</si>
  <si>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</si>
  <si>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</si>
  <si>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</si>
  <si>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</si>
  <si>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</si>
  <si>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</si>
  <si>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</si>
  <si>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</si>
  <si>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</si>
  <si>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</si>
  <si>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</si>
  <si>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</si>
  <si>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</si>
  <si>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</si>
  <si>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</si>
  <si>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</si>
  <si>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</si>
  <si>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</si>
  <si>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</si>
  <si>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</si>
  <si>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</si>
  <si>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</si>
  <si>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</si>
  <si>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</si>
  <si>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</si>
  <si>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</si>
  <si>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원당동 529번지  1호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</si>
  <si>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</si>
  <si>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</si>
  <si>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</si>
  <si>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</si>
  <si>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</si>
  <si>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</si>
  <si>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</si>
  <si>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</si>
  <si>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</si>
  <si>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</si>
  <si>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검단4동</t>
    <phoneticPr fontId="35" type="noConversion"/>
  </si>
  <si>
    <t>생활용수</t>
    <phoneticPr fontId="35" type="noConversion"/>
  </si>
  <si>
    <t>마전주유소</t>
    <phoneticPr fontId="35" type="noConversion"/>
  </si>
  <si>
    <t>인천광역시 서구 원당대로 672</t>
    <phoneticPr fontId="35" type="noConversion"/>
  </si>
  <si>
    <t>당하동 1092-9</t>
    <phoneticPr fontId="35" type="noConversion"/>
  </si>
  <si>
    <t>왕길동 3-1</t>
    <phoneticPr fontId="36" type="noConversion"/>
  </si>
  <si>
    <t>왕길동 산130-1</t>
    <phoneticPr fontId="36" type="noConversion"/>
  </si>
  <si>
    <t>1999--06-29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</si>
</sst>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* #,##0_);_(* \(#,##0\);_(* &quot;-&quot;_);_(@_)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&quot;$&quot;* #,##0.0_);_(&quot;$&quot;* \(#,##0.0\);_(&quot;$&quot;* &quot;-&quot;??_);_(@_)"/>
    <numFmt numFmtId="182" formatCode="&quot;₩&quot;#,##0.00;&quot;₩&quot;\-#,##0.00"/>
    <numFmt numFmtId="183" formatCode="_(\$* #,##0_);_(\$* \(#,##0\);_(\$* &quot;-&quot;_);_(@_)"/>
    <numFmt numFmtId="184" formatCode="0.0%"/>
    <numFmt numFmtId="185" formatCode="#,###;&quot;△&quot;##,##0;&quot;-&quot;"/>
  </numFmts>
  <fonts count="42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굴림"/>
      <family val="3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11"/>
      <color rgb="FF9C0006"/>
      <name val="맑은 고딕"/>
      <family val="3"/>
      <charset val="129"/>
      <scheme val="minor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u/>
      <sz val="11"/>
      <color theme="1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0"/>
      <name val="굴림체"/>
      <family val="3"/>
      <charset val="129"/>
    </font>
    <font>
      <b/>
      <sz val="18"/>
      <name val="Arial"/>
      <family val="2"/>
    </font>
    <font>
      <sz val="10"/>
      <name val="Times New Roman"/>
      <family val="1"/>
    </font>
    <font>
      <b/>
      <sz val="11"/>
      <name val="Helv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2"/>
      <scheme val="minor"/>
    </font>
    <font>
      <sz val="11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126">
    <xf numFmtId="0" fontId="0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8" fillId="0" borderId="0"/>
    <xf numFmtId="0" fontId="8" fillId="0" borderId="0"/>
    <xf numFmtId="0" fontId="9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/>
    <xf numFmtId="0" fontId="9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/>
    <xf numFmtId="0" fontId="10" fillId="0" borderId="0"/>
    <xf numFmtId="0" fontId="12" fillId="0" borderId="0" applyNumberFormat="0" applyFill="0" applyBorder="0" applyAlignment="0" applyProtection="0">
      <alignment vertical="center"/>
    </xf>
    <xf numFmtId="0" fontId="9" fillId="0" borderId="0"/>
    <xf numFmtId="0" fontId="14" fillId="0" borderId="0"/>
    <xf numFmtId="0" fontId="13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6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38" fontId="16" fillId="4" borderId="0" applyNumberFormat="0" applyBorder="0" applyAlignment="0" applyProtection="0"/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NumberFormat="0" applyFill="0" applyBorder="0" applyAlignment="0" applyProtection="0"/>
    <xf numFmtId="10" fontId="16" fillId="5" borderId="1" applyNumberFormat="0" applyBorder="0" applyAlignment="0" applyProtection="0"/>
    <xf numFmtId="181" fontId="9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2" fillId="0" borderId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177" fontId="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0" borderId="0"/>
    <xf numFmtId="0" fontId="2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 applyNumberFormat="0" applyFont="0" applyFill="0" applyBorder="0" applyAlignment="0" applyProtection="0"/>
    <xf numFmtId="0" fontId="9" fillId="0" borderId="0"/>
    <xf numFmtId="0" fontId="5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7" fillId="0" borderId="0"/>
    <xf numFmtId="3" fontId="1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8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0" fillId="0" borderId="0"/>
    <xf numFmtId="0" fontId="31" fillId="0" borderId="0"/>
    <xf numFmtId="0" fontId="15" fillId="0" borderId="4" applyNumberFormat="0" applyFont="0" applyFill="0" applyAlignment="0" applyProtection="0"/>
    <xf numFmtId="9" fontId="6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3" fontId="10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/>
    <xf numFmtId="0" fontId="1" fillId="0" borderId="0">
      <alignment vertical="center"/>
    </xf>
    <xf numFmtId="0" fontId="15" fillId="0" borderId="0" applyNumberFormat="0" applyFont="0" applyFill="0" applyBorder="0" applyAlignment="0" applyProtection="0"/>
    <xf numFmtId="0" fontId="8" fillId="0" borderId="0"/>
    <xf numFmtId="0" fontId="11" fillId="0" borderId="0">
      <alignment vertical="center"/>
    </xf>
    <xf numFmtId="0" fontId="10" fillId="0" borderId="0"/>
    <xf numFmtId="0" fontId="9" fillId="0" borderId="0"/>
    <xf numFmtId="0" fontId="32" fillId="0" borderId="0" applyNumberFormat="0" applyFill="0" applyBorder="0" applyAlignment="0" applyProtection="0">
      <alignment vertical="top"/>
      <protection locked="0"/>
    </xf>
    <xf numFmtId="41" fontId="9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176" fontId="0" fillId="3" borderId="8" xfId="0" applyNumberForma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6" borderId="9" xfId="0" applyFill="1" applyBorder="1" applyAlignment="1">
      <alignment horizontal="center" vertical="center" shrinkToFit="1"/>
    </xf>
    <xf numFmtId="0" fontId="0" fillId="6" borderId="9" xfId="0" applyFill="1" applyBorder="1" applyAlignment="1">
      <alignment horizontal="center" vertical="center"/>
    </xf>
    <xf numFmtId="0" fontId="0" fillId="6" borderId="9" xfId="0" quotePrefix="1" applyFill="1" applyBorder="1" applyAlignment="1">
      <alignment horizontal="center" vertical="center"/>
    </xf>
    <xf numFmtId="176" fontId="0" fillId="6" borderId="1" xfId="0" applyNumberForma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184" fontId="0" fillId="0" borderId="0" xfId="2" applyNumberFormat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 wrapText="1"/>
    </xf>
    <xf numFmtId="184" fontId="4" fillId="3" borderId="1" xfId="2" applyNumberFormat="1" applyFont="1" applyFill="1" applyBorder="1" applyAlignment="1">
      <alignment horizontal="center" vertical="center" wrapText="1"/>
    </xf>
    <xf numFmtId="41" fontId="0" fillId="7" borderId="1" xfId="1" applyFont="1" applyFill="1" applyBorder="1" applyAlignment="1">
      <alignment horizontal="center" vertical="center"/>
    </xf>
    <xf numFmtId="41" fontId="0" fillId="7" borderId="1" xfId="1" applyFont="1" applyFill="1" applyBorder="1" applyAlignment="1">
      <alignment horizontal="right" vertical="center"/>
    </xf>
    <xf numFmtId="184" fontId="0" fillId="7" borderId="1" xfId="2" applyNumberFormat="1" applyFont="1" applyFill="1" applyBorder="1" applyAlignment="1">
      <alignment horizontal="right" vertical="center"/>
    </xf>
    <xf numFmtId="41" fontId="0" fillId="8" borderId="1" xfId="1" applyFont="1" applyFill="1" applyBorder="1" applyAlignment="1">
      <alignment horizontal="right" vertical="center"/>
    </xf>
    <xf numFmtId="184" fontId="4" fillId="3" borderId="1" xfId="2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41" fontId="0" fillId="9" borderId="8" xfId="1" applyFont="1" applyFill="1" applyBorder="1" applyAlignment="1">
      <alignment horizontal="center" vertical="center"/>
    </xf>
    <xf numFmtId="41" fontId="0" fillId="7" borderId="8" xfId="1" applyFont="1" applyFill="1" applyBorder="1" applyAlignment="1">
      <alignment horizontal="center" vertical="center"/>
    </xf>
    <xf numFmtId="41" fontId="0" fillId="7" borderId="0" xfId="1" applyFont="1" applyFill="1" applyAlignment="1">
      <alignment horizontal="center" vertical="center"/>
    </xf>
    <xf numFmtId="41" fontId="0" fillId="7" borderId="0" xfId="1" applyFont="1" applyFill="1" applyAlignment="1">
      <alignment horizontal="center" vertical="center" shrinkToFit="1"/>
    </xf>
    <xf numFmtId="41" fontId="0" fillId="7" borderId="3" xfId="1" quotePrefix="1" applyFont="1" applyFill="1" applyBorder="1" applyAlignment="1">
      <alignment horizontal="center" vertical="center"/>
    </xf>
    <xf numFmtId="41" fontId="0" fillId="7" borderId="0" xfId="1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41" fontId="0" fillId="9" borderId="0" xfId="1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7" fillId="7" borderId="11" xfId="3" applyFont="1" applyFill="1" applyBorder="1" applyAlignment="1">
      <alignment horizontal="center" vertical="center"/>
    </xf>
    <xf numFmtId="0" fontId="38" fillId="8" borderId="1" xfId="0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horizontal="center" vertical="center"/>
    </xf>
    <xf numFmtId="49" fontId="39" fillId="8" borderId="1" xfId="0" applyNumberFormat="1" applyFont="1" applyFill="1" applyBorder="1" applyAlignment="1">
      <alignment horizontal="center" vertical="center"/>
    </xf>
    <xf numFmtId="41" fontId="39" fillId="8" borderId="1" xfId="1" applyFont="1" applyFill="1" applyBorder="1" applyAlignment="1">
      <alignment horizontal="left" vertical="center"/>
    </xf>
    <xf numFmtId="41" fontId="40" fillId="7" borderId="1" xfId="1" applyFont="1" applyFill="1" applyBorder="1" applyAlignment="1" applyProtection="1">
      <alignment horizontal="center" vertical="center"/>
      <protection locked="0"/>
    </xf>
    <xf numFmtId="14" fontId="39" fillId="8" borderId="1" xfId="0" applyNumberFormat="1" applyFont="1" applyFill="1" applyBorder="1" applyAlignment="1">
      <alignment horizontal="center" vertical="center"/>
    </xf>
    <xf numFmtId="14" fontId="41" fillId="8" borderId="11" xfId="0" applyNumberFormat="1" applyFont="1" applyFill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40" fillId="7" borderId="12" xfId="3" applyFont="1" applyFill="1" applyBorder="1" applyAlignment="1">
      <alignment horizontal="center" vertical="center"/>
    </xf>
    <xf numFmtId="41" fontId="39" fillId="8" borderId="1" xfId="1" applyFont="1" applyFill="1" applyBorder="1" applyAlignment="1">
      <alignment horizontal="center" vertical="center"/>
    </xf>
    <xf numFmtId="14" fontId="41" fillId="8" borderId="12" xfId="0" applyNumberFormat="1" applyFont="1" applyFill="1" applyBorder="1" applyAlignment="1">
      <alignment horizontal="center" vertical="center"/>
    </xf>
    <xf numFmtId="41" fontId="39" fillId="8" borderId="1" xfId="1" applyFont="1" applyFill="1" applyBorder="1" applyAlignment="1" applyProtection="1">
      <alignment horizontal="center" vertical="center"/>
      <protection locked="0"/>
    </xf>
    <xf numFmtId="185" fontId="40" fillId="8" borderId="1" xfId="98" applyNumberFormat="1" applyFont="1" applyFill="1" applyBorder="1" applyAlignment="1" applyProtection="1">
      <alignment horizontal="center" vertical="center" shrinkToFit="1"/>
      <protection locked="0"/>
    </xf>
    <xf numFmtId="14" fontId="40" fillId="8" borderId="12" xfId="0" applyNumberFormat="1" applyFont="1" applyFill="1" applyBorder="1" applyAlignment="1">
      <alignment horizontal="center" vertical="center"/>
    </xf>
    <xf numFmtId="14" fontId="40" fillId="8" borderId="1" xfId="0" applyNumberFormat="1" applyFont="1" applyFill="1" applyBorder="1" applyAlignment="1">
      <alignment horizontal="center" vertical="center" wrapText="1"/>
    </xf>
    <xf numFmtId="14" fontId="40" fillId="8" borderId="1" xfId="0" applyNumberFormat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/>
    </xf>
    <xf numFmtId="184" fontId="4" fillId="3" borderId="1" xfId="2" applyNumberFormat="1" applyFont="1" applyFill="1" applyBorder="1" applyAlignment="1">
      <alignment horizontal="center" vertical="center" wrapText="1"/>
    </xf>
    <xf numFmtId="41" fontId="4" fillId="3" borderId="9" xfId="1" applyFont="1" applyFill="1" applyBorder="1" applyAlignment="1">
      <alignment horizontal="center" vertical="center"/>
    </xf>
    <xf numFmtId="41" fontId="4" fillId="3" borderId="3" xfId="1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26">
    <cellStyle name="??&amp;O?&amp;H?_x0008__x000f__x0007_?_x0007__x0001__x0001_" xfId="71"/>
    <cellStyle name="??&amp;O?&amp;H?_x0008_??_x0007__x0001__x0001_" xfId="72"/>
    <cellStyle name="A¨­￠￢￠O [0]_INQUIRY ￠?￥i¨u¡AAⓒ￢Aⓒª " xfId="73"/>
    <cellStyle name="A¨­￠￢￠O_INQUIRY ￠?￥i¨u¡AAⓒ￢Aⓒª " xfId="74"/>
    <cellStyle name="AeE­ [0]_AMT " xfId="75"/>
    <cellStyle name="AeE­_AMT " xfId="76"/>
    <cellStyle name="AeE¡ⓒ [0]_INQUIRY ￠?￥i¨u¡AAⓒ￢Aⓒª " xfId="77"/>
    <cellStyle name="AeE¡ⓒ_INQUIRY ￠?￥i¨u¡AAⓒ￢Aⓒª " xfId="78"/>
    <cellStyle name="ALIGNMENT" xfId="20"/>
    <cellStyle name="AÞ¸¶ [0]_AN°y(1.25) " xfId="79"/>
    <cellStyle name="AÞ¸¶_AN°y(1.25) " xfId="80"/>
    <cellStyle name="C¡IA¨ª_¡ic¨u¡A¨￢I¨￢¡Æ AN¡Æe " xfId="81"/>
    <cellStyle name="C￥AØ_¿μ¾÷CoE² " xfId="21"/>
    <cellStyle name="Comma [0]_ SG&amp;A Bridge " xfId="22"/>
    <cellStyle name="Comma_ SG&amp;A Bridge " xfId="23"/>
    <cellStyle name="Comma0" xfId="82"/>
    <cellStyle name="Cur?ncy_1996 (2)_9월경비 (2)_97회비 (2)_1월회비내역 (2)" xfId="83"/>
    <cellStyle name="Curren?_x0012_퐀_x0017_?" xfId="84"/>
    <cellStyle name="Currency [0]_ SG&amp;A Bridge " xfId="24"/>
    <cellStyle name="Currency_ SG&amp;A Bridge " xfId="25"/>
    <cellStyle name="Currency0" xfId="85"/>
    <cellStyle name="Date" xfId="86"/>
    <cellStyle name="Fixed" xfId="87"/>
    <cellStyle name="Grey" xfId="26"/>
    <cellStyle name="Header1" xfId="27"/>
    <cellStyle name="Header2" xfId="28"/>
    <cellStyle name="Heading 1" xfId="88"/>
    <cellStyle name="Heading 2" xfId="89"/>
    <cellStyle name="Hyperlink_NEGS" xfId="29"/>
    <cellStyle name="Input [yellow]" xfId="30"/>
    <cellStyle name="Nor?l_Certs Q2_9eu2ykjxWrJEMiyb4GPBT4EJI" xfId="90"/>
    <cellStyle name="Normal - Style1" xfId="31"/>
    <cellStyle name="Normal_ SG&amp;A Bridge " xfId="32"/>
    <cellStyle name="Œ…?æ맖?e [0.00]_laroux" xfId="33"/>
    <cellStyle name="Œ…?æ맖?e_laroux" xfId="34"/>
    <cellStyle name="Percent [2]" xfId="35"/>
    <cellStyle name="subhead" xfId="91"/>
    <cellStyle name="Total" xfId="92"/>
    <cellStyle name="나쁨 3" xfId="36"/>
    <cellStyle name="뒤에 오는 하이퍼링크_Book1" xfId="37"/>
    <cellStyle name="똿뗦먛귟 [0.00]_PRODUCT DETAIL Q1" xfId="38"/>
    <cellStyle name="똿뗦먛귟_PRODUCT DETAIL Q1" xfId="39"/>
    <cellStyle name="믅됞 [0.00]_PRODUCT DETAIL Q1" xfId="40"/>
    <cellStyle name="믅됞_PRODUCT DETAIL Q1" xfId="41"/>
    <cellStyle name="백분율" xfId="2" builtinId="5"/>
    <cellStyle name="백분율 2" xfId="42"/>
    <cellStyle name="백분율 2 2" xfId="93"/>
    <cellStyle name="백분율 2 3" xfId="94"/>
    <cellStyle name="백분율 3" xfId="95"/>
    <cellStyle name="백분율 4" xfId="96"/>
    <cellStyle name="뷭?_BOOKSHIP" xfId="43"/>
    <cellStyle name="쉼표 [0]" xfId="1" builtinId="6"/>
    <cellStyle name="쉼표 [0] 10" xfId="97"/>
    <cellStyle name="쉼표 [0] 11" xfId="98"/>
    <cellStyle name="쉼표 [0] 12" xfId="4"/>
    <cellStyle name="쉼표 [0] 2" xfId="10"/>
    <cellStyle name="쉼표 [0] 2 2" xfId="13"/>
    <cellStyle name="쉼표 [0] 2 2 2" xfId="15"/>
    <cellStyle name="쉼표 [0] 2 3" xfId="16"/>
    <cellStyle name="쉼표 [0] 2 4" xfId="44"/>
    <cellStyle name="쉼표 [0] 2 5" xfId="125"/>
    <cellStyle name="쉼표 [0] 3" xfId="45"/>
    <cellStyle name="쉼표 [0] 3 2" xfId="99"/>
    <cellStyle name="쉼표 [0] 3 3" xfId="100"/>
    <cellStyle name="쉼표 [0] 4" xfId="46"/>
    <cellStyle name="쉼표 [0] 4 2" xfId="101"/>
    <cellStyle name="쉼표 [0] 5" xfId="47"/>
    <cellStyle name="쉼표 [0] 5 2" xfId="102"/>
    <cellStyle name="쉼표 [0] 6" xfId="67"/>
    <cellStyle name="쉼표 [0] 7" xfId="103"/>
    <cellStyle name="쉼표 [0] 8" xfId="64"/>
    <cellStyle name="쉼표 [0] 9" xfId="48"/>
    <cellStyle name="스타일 1" xfId="49"/>
    <cellStyle name="스타일 1 2" xfId="104"/>
    <cellStyle name="지정되지 않음" xfId="50"/>
    <cellStyle name="콤마 [0]_ 견적기준 FLOW " xfId="105"/>
    <cellStyle name="콤마_ 견적기준 FLOW " xfId="106"/>
    <cellStyle name="통화 [0] 2" xfId="107"/>
    <cellStyle name="통화 [0] 3" xfId="108"/>
    <cellStyle name="표준" xfId="0" builtinId="0"/>
    <cellStyle name="표준 10" xfId="51"/>
    <cellStyle name="표준 10 2" xfId="69"/>
    <cellStyle name="표준 11" xfId="52"/>
    <cellStyle name="표준 12" xfId="109"/>
    <cellStyle name="표준 13" xfId="65"/>
    <cellStyle name="표준 14" xfId="70"/>
    <cellStyle name="표준 15" xfId="110"/>
    <cellStyle name="표준 16" xfId="3"/>
    <cellStyle name="표준 2" xfId="6"/>
    <cellStyle name="표준 2 2" xfId="9"/>
    <cellStyle name="표준 2 2 2" xfId="53"/>
    <cellStyle name="표준 2 2 3" xfId="54"/>
    <cellStyle name="표준 2 2 4" xfId="63"/>
    <cellStyle name="표준 2 3" xfId="8"/>
    <cellStyle name="표준 2 3 2" xfId="55"/>
    <cellStyle name="표준 2 4" xfId="14"/>
    <cellStyle name="표준 2 5" xfId="17"/>
    <cellStyle name="표준 2 6" xfId="19"/>
    <cellStyle name="표준 2 7" xfId="56"/>
    <cellStyle name="표준 3" xfId="7"/>
    <cellStyle name="표준 3 2" xfId="11"/>
    <cellStyle name="표준 3 2 2" xfId="111"/>
    <cellStyle name="표준 3 2 3" xfId="112"/>
    <cellStyle name="표준 3 3" xfId="12"/>
    <cellStyle name="표준 3 3 2" xfId="113"/>
    <cellStyle name="표준 3 3 3" xfId="114"/>
    <cellStyle name="표준 3 4" xfId="115"/>
    <cellStyle name="표준 4" xfId="57"/>
    <cellStyle name="표준 4 2" xfId="58"/>
    <cellStyle name="표준 4 3" xfId="68"/>
    <cellStyle name="표준 5" xfId="5"/>
    <cellStyle name="표준 5 2" xfId="59"/>
    <cellStyle name="표준 5 3" xfId="116"/>
    <cellStyle name="표준 6" xfId="60"/>
    <cellStyle name="표준 6 2" xfId="117"/>
    <cellStyle name="표준 7" xfId="118"/>
    <cellStyle name="표준 7 2" xfId="119"/>
    <cellStyle name="표준 8" xfId="61"/>
    <cellStyle name="표준 8 2" xfId="120"/>
    <cellStyle name="표준 8 3" xfId="121"/>
    <cellStyle name="표준 9" xfId="62"/>
    <cellStyle name="표준 9 2" xfId="122"/>
    <cellStyle name="標準_Akia(F）-8" xfId="123"/>
    <cellStyle name="하이퍼링크 2" xfId="18"/>
    <cellStyle name="하이퍼링크 3" xfId="66"/>
    <cellStyle name="하이퍼링크 4" xfId="12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18</xdr:col>
      <xdr:colOff>676275</xdr:colOff>
      <xdr:row>2</xdr:row>
      <xdr:rowOff>34637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25" y="0"/>
          <a:ext cx="12134850" cy="453737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비상급수시설 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('17.12.31.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1972234</xdr:colOff>
      <xdr:row>1</xdr:row>
      <xdr:rowOff>196103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22535028" cy="409015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비상급수시설 세부현황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('17.12.31.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S25"/>
  <sheetViews>
    <sheetView zoomScaleNormal="100" workbookViewId="0">
      <selection activeCell="R12" sqref="R12"/>
    </sheetView>
  </sheetViews>
  <sheetFormatPr defaultRowHeight="16.5"/>
  <cols>
    <col min="1" max="1" width="8.5" style="16" customWidth="1"/>
    <col min="2" max="2" width="14.125" style="16" customWidth="1"/>
    <col min="3" max="3" width="12.625" style="16" customWidth="1"/>
    <col min="4" max="4" width="10.25" style="16" customWidth="1"/>
    <col min="5" max="5" width="10.75" style="17" customWidth="1"/>
    <col min="6" max="7" width="10.875" style="16" customWidth="1"/>
    <col min="8" max="8" width="10.125" style="17" customWidth="1"/>
    <col min="9" max="10" width="11" style="16" customWidth="1"/>
    <col min="11" max="11" width="9.375" style="17" customWidth="1"/>
    <col min="12" max="19" width="8.125" style="16" customWidth="1"/>
    <col min="20" max="16384" width="9" style="16"/>
  </cols>
  <sheetData>
    <row r="5" spans="1:19" ht="24" customHeight="1">
      <c r="A5" s="58" t="s">
        <v>33</v>
      </c>
      <c r="B5" s="57" t="s">
        <v>50</v>
      </c>
      <c r="C5" s="58" t="s">
        <v>51</v>
      </c>
      <c r="D5" s="58"/>
      <c r="E5" s="58"/>
      <c r="F5" s="58"/>
      <c r="G5" s="58"/>
      <c r="H5" s="58"/>
      <c r="I5" s="58"/>
      <c r="J5" s="58"/>
      <c r="K5" s="58"/>
      <c r="L5" s="60" t="s">
        <v>54</v>
      </c>
      <c r="M5" s="61"/>
      <c r="N5" s="61"/>
      <c r="O5" s="61"/>
      <c r="P5" s="61"/>
      <c r="Q5" s="61"/>
      <c r="R5" s="61"/>
      <c r="S5" s="62"/>
    </row>
    <row r="6" spans="1:19" ht="24" customHeight="1">
      <c r="A6" s="58"/>
      <c r="B6" s="57"/>
      <c r="C6" s="58" t="s">
        <v>28</v>
      </c>
      <c r="D6" s="58"/>
      <c r="E6" s="25"/>
      <c r="F6" s="58" t="s">
        <v>15</v>
      </c>
      <c r="G6" s="58"/>
      <c r="H6" s="58"/>
      <c r="I6" s="58" t="s">
        <v>20</v>
      </c>
      <c r="J6" s="58"/>
      <c r="K6" s="58"/>
      <c r="L6" s="59" t="s">
        <v>28</v>
      </c>
      <c r="M6" s="59"/>
      <c r="N6" s="58" t="s">
        <v>55</v>
      </c>
      <c r="O6" s="58"/>
      <c r="P6" s="58" t="s">
        <v>56</v>
      </c>
      <c r="Q6" s="58"/>
      <c r="R6" s="58" t="s">
        <v>57</v>
      </c>
      <c r="S6" s="58"/>
    </row>
    <row r="7" spans="1:19" ht="27.75" customHeight="1">
      <c r="A7" s="58"/>
      <c r="B7" s="57"/>
      <c r="C7" s="18" t="s">
        <v>62</v>
      </c>
      <c r="D7" s="18" t="s">
        <v>63</v>
      </c>
      <c r="E7" s="25" t="s">
        <v>64</v>
      </c>
      <c r="F7" s="19" t="s">
        <v>58</v>
      </c>
      <c r="G7" s="19" t="s">
        <v>59</v>
      </c>
      <c r="H7" s="20" t="s">
        <v>60</v>
      </c>
      <c r="I7" s="19" t="s">
        <v>58</v>
      </c>
      <c r="J7" s="19" t="s">
        <v>61</v>
      </c>
      <c r="K7" s="20" t="s">
        <v>60</v>
      </c>
      <c r="L7" s="19" t="s">
        <v>52</v>
      </c>
      <c r="M7" s="19" t="s">
        <v>53</v>
      </c>
      <c r="N7" s="18" t="s">
        <v>52</v>
      </c>
      <c r="O7" s="18" t="s">
        <v>53</v>
      </c>
      <c r="P7" s="18" t="s">
        <v>52</v>
      </c>
      <c r="Q7" s="18" t="s">
        <v>53</v>
      </c>
      <c r="R7" s="18" t="s">
        <v>52</v>
      </c>
      <c r="S7" s="18" t="s">
        <v>53</v>
      </c>
    </row>
    <row r="8" spans="1:19" ht="26.25" customHeight="1">
      <c r="A8" s="21" t="s">
        <v>28</v>
      </c>
      <c r="B8" s="22">
        <f>SUM(B9:B25)</f>
        <v>2948542</v>
      </c>
      <c r="C8" s="22">
        <f t="shared" ref="C8:N8" si="0">SUM(C9:C25)</f>
        <v>73713.55</v>
      </c>
      <c r="D8" s="22">
        <f t="shared" si="0"/>
        <v>5991</v>
      </c>
      <c r="E8" s="23">
        <f>D8/C8</f>
        <v>8.1274066979544465E-2</v>
      </c>
      <c r="F8" s="22">
        <f t="shared" si="0"/>
        <v>26536.878000000001</v>
      </c>
      <c r="G8" s="22">
        <f t="shared" si="0"/>
        <v>2205</v>
      </c>
      <c r="H8" s="23">
        <f>G8/F8</f>
        <v>8.3091914580155204E-2</v>
      </c>
      <c r="I8" s="22">
        <f t="shared" si="0"/>
        <v>47176.671999999999</v>
      </c>
      <c r="J8" s="22">
        <f t="shared" si="0"/>
        <v>3786</v>
      </c>
      <c r="K8" s="23">
        <f>J8/I8</f>
        <v>8.0251527704200923E-2</v>
      </c>
      <c r="L8" s="22">
        <f>N8+P8+R8</f>
        <v>90</v>
      </c>
      <c r="M8" s="22">
        <f>O8+Q8+S8</f>
        <v>6892</v>
      </c>
      <c r="N8" s="22">
        <f t="shared" si="0"/>
        <v>6</v>
      </c>
      <c r="O8" s="22">
        <f t="shared" ref="O8" si="1">SUM(O9:O25)</f>
        <v>920</v>
      </c>
      <c r="P8" s="22">
        <f t="shared" ref="P8:Q8" si="2">SUM(P9:P25)</f>
        <v>1</v>
      </c>
      <c r="Q8" s="22">
        <f t="shared" si="2"/>
        <v>51</v>
      </c>
      <c r="R8" s="22">
        <f t="shared" ref="R8" si="3">SUM(R9:R25)</f>
        <v>83</v>
      </c>
      <c r="S8" s="22">
        <f t="shared" ref="S8" si="4">SUM(S9:S25)</f>
        <v>5921</v>
      </c>
    </row>
    <row r="9" spans="1:19" ht="26.25" customHeight="1">
      <c r="A9" s="21" t="s">
        <v>13</v>
      </c>
      <c r="B9" s="24"/>
      <c r="C9" s="22">
        <f>F9+I9</f>
        <v>0</v>
      </c>
      <c r="D9" s="22">
        <f>G9+J9</f>
        <v>0</v>
      </c>
      <c r="E9" s="23" t="e">
        <f>D9/C9</f>
        <v>#DIV/0!</v>
      </c>
      <c r="F9" s="22">
        <f>B9*9/1000</f>
        <v>0</v>
      </c>
      <c r="G9" s="22">
        <f>SUMIFS('전국 민방위 비상급수시설 현황'!$J$11:$J$100,'전국 민방위 비상급수시설 현황'!$B$11:$B$100,"서울",'전국 민방위 비상급수시설 현황'!$F$11:$F$100,"음용수")-SUMIFS('전국 민방위 비상급수시설 현황'!$J$11:$J$100,'전국 민방위 비상급수시설 현황'!$B$11:$B$100,"서울",'전국 민방위 비상급수시설 현황'!$F$11:$F$100,"음용수",'전국 민방위 비상급수시설 현황'!$O$11:$O$100,"지정해제")-SUMIFS('전국 민방위 비상급수시설 현황'!$J$11:$J$100,'전국 민방위 비상급수시설 현황'!$B$11:$B$100,"서울",'전국 민방위 비상급수시설 현황'!$F$11:$F$100,"음용수",'전국 민방위 비상급수시설 현황'!$O$11:$O$100,"폐공")</f>
        <v>0</v>
      </c>
      <c r="H9" s="23" t="e">
        <f>G9/F9</f>
        <v>#DIV/0!</v>
      </c>
      <c r="I9" s="22">
        <f>B9*16/1000</f>
        <v>0</v>
      </c>
      <c r="J9" s="22">
        <f>SUMIFS('전국 민방위 비상급수시설 현황'!$J$11:$J$100,'전국 민방위 비상급수시설 현황'!$B$11:$B$100,"서울",'전국 민방위 비상급수시설 현황'!$F$11:$F$100,"생활용수")-SUMIFS('전국 민방위 비상급수시설 현황'!$J$11:$J$100,'전국 민방위 비상급수시설 현황'!$B$11:$B$100,"서울",'전국 민방위 비상급수시설 현황'!$F$11:$F$100,"생활용수",'전국 민방위 비상급수시설 현황'!$O$11:$O$100,"지정해제")-SUMIFS('전국 민방위 비상급수시설 현황'!$J$11:$J$100,'전국 민방위 비상급수시설 현황'!$B$11:$B$100,"서울",'전국 민방위 비상급수시설 현황'!$F$11:$F$100,"생활용수",'전국 민방위 비상급수시설 현황'!$O$11:$O$100,"폐공")</f>
        <v>0</v>
      </c>
      <c r="K9" s="23" t="e">
        <f>J9/I9</f>
        <v>#DIV/0!</v>
      </c>
      <c r="L9" s="22">
        <f t="shared" ref="L9:L25" si="5">N9+P9+R9</f>
        <v>0</v>
      </c>
      <c r="M9" s="22">
        <f t="shared" ref="M9:M25" si="6">O9+Q9+S9</f>
        <v>0</v>
      </c>
      <c r="N9" s="21">
        <f>COUNTIFS('전국 민방위 비상급수시설 현황'!$B$11:$B$100,"서울",'전국 민방위 비상급수시설 현황'!$E$11:$E$100,"정부지원") - COUNTIFS('전국 민방위 비상급수시설 현황'!$B$11:$B$100,"서울",'전국 민방위 비상급수시설 현황'!$E$11:$E$100,"정부지원",'전국 민방위 비상급수시설 현황'!$O$11:$O$100,"지정해제")
 - COUNTIFS('전국 민방위 비상급수시설 현황'!$B$11:$B$100,"서울",'전국 민방위 비상급수시설 현황'!$E$11:$E$100,"정부지원",'전국 민방위 비상급수시설 현황'!$O$11:$O$100,"폐공")</f>
        <v>0</v>
      </c>
      <c r="O9" s="21">
        <f>SUMIFS('전국 민방위 비상급수시설 현황'!$J$11:$J$100,'전국 민방위 비상급수시설 현황'!$B$11:$B$100,"서울",'전국 민방위 비상급수시설 현황'!$E$11:$E$100,"정부지원")
-SUMIFS('전국 민방위 비상급수시설 현황'!$J$11:$J$100,'전국 민방위 비상급수시설 현황'!$B$11:$B$100,"서울",'전국 민방위 비상급수시설 현황'!$E$11:$E$100,"정부지원",'전국 민방위 비상급수시설 현황'!$O$11:$O$100,"지정해제")
-SUMIFS('전국 민방위 비상급수시설 현황'!$J$11:$J$100,'전국 민방위 비상급수시설 현황'!$B$11:$B$100,"서울",'전국 민방위 비상급수시설 현황'!$E$11:$E$100,"정부지원",'전국 민방위 비상급수시설 현황'!$O$11:$O$100,"폐공")</f>
        <v>0</v>
      </c>
      <c r="P9" s="21">
        <f>COUNTIFS('전국 민방위 비상급수시설 현황'!$B$11:$B$100,"서울",'전국 민방위 비상급수시설 현황'!$E$11:$E$100,"지자체") - COUNTIFS('전국 민방위 비상급수시설 현황'!$B$11:$B$100,"서울",'전국 민방위 비상급수시설 현황'!$E$11:$E$100,"지자체",'전국 민방위 비상급수시설 현황'!$O$11:$O$100,"지정해제")
 - COUNTIFS('전국 민방위 비상급수시설 현황'!$B$11:$B$100,"서울",'전국 민방위 비상급수시설 현황'!$E$11:$E$100,"지자체",'전국 민방위 비상급수시설 현황'!$O$11:$O$100,"폐공")</f>
        <v>0</v>
      </c>
      <c r="Q9" s="21">
        <f>SUMIFS('전국 민방위 비상급수시설 현황'!$J$11:$J$100,'전국 민방위 비상급수시설 현황'!$B$11:$B$100,"서울",'전국 민방위 비상급수시설 현황'!$E$11:$E$100,"지자체")
-SUMIFS('전국 민방위 비상급수시설 현황'!$J$11:$J$100,'전국 민방위 비상급수시설 현황'!$B$11:$B$100,"서울",'전국 민방위 비상급수시설 현황'!$E$11:$E$100,"지자체",'전국 민방위 비상급수시설 현황'!$O$11:$O$100,"지정해제")
-SUMIFS('전국 민방위 비상급수시설 현황'!$J$11:$J$100,'전국 민방위 비상급수시설 현황'!$B$11:$B$100,"서울",'전국 민방위 비상급수시설 현황'!$E$11:$E$100,"지자체",'전국 민방위 비상급수시설 현황'!$O$11:$O$100,"폐공")</f>
        <v>0</v>
      </c>
      <c r="R9" s="21">
        <f>COUNTIFS('전국 민방위 비상급수시설 현황'!$B$11:$B$100,"서울",'전국 민방위 비상급수시설 현황'!$E$11:$E$100,"공공용") - COUNTIFS('전국 민방위 비상급수시설 현황'!$B$11:$B$100,"서울",'전국 민방위 비상급수시설 현황'!$E$11:$E$100,"공공용",'전국 민방위 비상급수시설 현황'!$O$11:$O$100,"지정해제")
 - COUNTIFS('전국 민방위 비상급수시설 현황'!$B$11:$B$100,"서울",'전국 민방위 비상급수시설 현황'!$E$11:$E$100,"공공용",'전국 민방위 비상급수시설 현황'!$O$11:$O$100,"폐공")</f>
        <v>0</v>
      </c>
      <c r="S9" s="21">
        <f>SUMIFS('전국 민방위 비상급수시설 현황'!$J$11:$J$100,'전국 민방위 비상급수시설 현황'!$B$11:$B$100,"서울",'전국 민방위 비상급수시설 현황'!$E$11:$E$100,"공공용")
-SUMIFS('전국 민방위 비상급수시설 현황'!$J$11:$J$100,'전국 민방위 비상급수시설 현황'!$B$11:$B$100,"서울",'전국 민방위 비상급수시설 현황'!$E$11:$E$100,"공공용",'전국 민방위 비상급수시설 현황'!$O$11:$O$100,"지정해제")
-SUMIFS('전국 민방위 비상급수시설 현황'!$J$11:$J$100,'전국 민방위 비상급수시설 현황'!$B$11:$B$100,"서울",'전국 민방위 비상급수시설 현황'!$E$11:$E$100,"공공용",'전국 민방위 비상급수시설 현황'!$O$11:$O$100,"폐공")</f>
        <v>0</v>
      </c>
    </row>
    <row r="10" spans="1:19" ht="26.25" customHeight="1">
      <c r="A10" s="21" t="s">
        <v>34</v>
      </c>
      <c r="B10" s="24"/>
      <c r="C10" s="22">
        <f t="shared" ref="C10:C25" si="7">F10+I10</f>
        <v>0</v>
      </c>
      <c r="D10" s="22">
        <f t="shared" ref="D10:D25" si="8">G10+J10</f>
        <v>0</v>
      </c>
      <c r="E10" s="23" t="e">
        <f t="shared" ref="E10:E25" si="9">D10/C10</f>
        <v>#DIV/0!</v>
      </c>
      <c r="F10" s="22">
        <f t="shared" ref="F10:F25" si="10">B10*9/1000</f>
        <v>0</v>
      </c>
      <c r="G10" s="22">
        <f>SUMIFS('전국 민방위 비상급수시설 현황'!$J$11:$J$100,'전국 민방위 비상급수시설 현황'!$B$11:$B$100,"부산",'전국 민방위 비상급수시설 현황'!$F$11:$F$100,"음용수")-SUMIFS('전국 민방위 비상급수시설 현황'!$J$11:$J$100,'전국 민방위 비상급수시설 현황'!$B$11:$B$100,"부산",'전국 민방위 비상급수시설 현황'!$F$11:$F$100,"음용수",'전국 민방위 비상급수시설 현황'!$O$11:$O$100,"지정해제")-SUMIFS('전국 민방위 비상급수시설 현황'!$J$11:$J$100,'전국 민방위 비상급수시설 현황'!$B$11:$B$100,"부산",'전국 민방위 비상급수시설 현황'!$F$11:$F$100,"음용수",'전국 민방위 비상급수시설 현황'!$O$11:$O$100,"폐공")</f>
        <v>0</v>
      </c>
      <c r="H10" s="23" t="e">
        <f t="shared" ref="H10:H25" si="11">G10/F10</f>
        <v>#DIV/0!</v>
      </c>
      <c r="I10" s="22">
        <f t="shared" ref="I10:I25" si="12">B10*16/1000</f>
        <v>0</v>
      </c>
      <c r="J10" s="22">
        <f>SUMIFS('전국 민방위 비상급수시설 현황'!$J$11:$J$100,'전국 민방위 비상급수시설 현황'!$B$11:$B$100,"부산",'전국 민방위 비상급수시설 현황'!$F$11:$F$100,"생활용수")-SUMIFS('전국 민방위 비상급수시설 현황'!$J$11:$J$100,'전국 민방위 비상급수시설 현황'!$B$11:$B$100,"부산",'전국 민방위 비상급수시설 현황'!$F$11:$F$100,"생활용수",'전국 민방위 비상급수시설 현황'!$O$11:$O$100,"지정해제")-SUMIFS('전국 민방위 비상급수시설 현황'!$J$11:$J$100,'전국 민방위 비상급수시설 현황'!$B$11:$B$100,"부산",'전국 민방위 비상급수시설 현황'!$F$11:$F$100,"생활용수",'전국 민방위 비상급수시설 현황'!$O$11:$O$100,"폐공")</f>
        <v>0</v>
      </c>
      <c r="K10" s="23" t="e">
        <f t="shared" ref="K10:K25" si="13">J10/I10</f>
        <v>#DIV/0!</v>
      </c>
      <c r="L10" s="22">
        <f t="shared" si="5"/>
        <v>0</v>
      </c>
      <c r="M10" s="22">
        <f t="shared" si="6"/>
        <v>0</v>
      </c>
      <c r="N10" s="21">
        <f>COUNTIFS('전국 민방위 비상급수시설 현황'!$B$11:$B$100,"부산",'전국 민방위 비상급수시설 현황'!$E$11:$E$100,"정부지원")*COUNTIFS('전국 민방위 비상급수시설 현황'!$B$11:$B$100,"부산",'전국 민방위 비상급수시설 현황'!$E$11:$E$100,"정부지원",'전국 민방위 비상급수시설 현황'!$O$11:$O$100,"지정해제")
-COUNTIFS('전국 민방위 비상급수시설 현황'!$B$11:$B$100,"부산",'전국 민방위 비상급수시설 현황'!$E$11:$E$100,"정부지원",'전국 민방위 비상급수시설 현황'!$O$11:$O$100,"폐공")</f>
        <v>0</v>
      </c>
      <c r="O10" s="21">
        <f>-SUMIFS('전국 민방위 비상급수시설 현황'!$J$11:$J$100,'전국 민방위 비상급수시설 현황'!$B$11:$B$100,"부산",'전국 민방위 비상급수시설 현황'!$E$11:$E$100,"정부지원",'전국 민방위 비상급수시설 현황'!$O$11:$O$100,"지정해제")-SUMIFS('전국 민방위 비상급수시설 현황'!$J$11:$J$100,'전국 민방위 비상급수시설 현황'!$B$11:$B$100,"부산",'전국 민방위 비상급수시설 현황'!$E$11:$E$100,"정부지원",'전국 민방위 비상급수시설 현황'!$O$11:$O$100,"지정해제")
-SUMIFS('전국 민방위 비상급수시설 현황'!$J$11:$J$100,'전국 민방위 비상급수시설 현황'!$B$11:$B$100,"부산",'전국 민방위 비상급수시설 현황'!$E$11:$E$100,"정부지원",'전국 민방위 비상급수시설 현황'!$O$11:$O$100,"폐공")</f>
        <v>0</v>
      </c>
      <c r="P10" s="21">
        <f>COUNTIFS('전국 민방위 비상급수시설 현황'!$B$11:$B$100,"부산",'전국 민방위 비상급수시설 현황'!$E$11:$E$100,"지자체")*COUNTIFS('전국 민방위 비상급수시설 현황'!$B$11:$B$100,"부산",'전국 민방위 비상급수시설 현황'!$E$11:$E$100,"지자체",'전국 민방위 비상급수시설 현황'!$O$11:$O$100,"지정해제")
-COUNTIFS('전국 민방위 비상급수시설 현황'!$B$11:$B$100,"부산",'전국 민방위 비상급수시설 현황'!$E$11:$E$100,"지자체",'전국 민방위 비상급수시설 현황'!$O$11:$O$100,"폐공")</f>
        <v>0</v>
      </c>
      <c r="Q10" s="21">
        <f>-SUMIFS('전국 민방위 비상급수시설 현황'!$J$11:$J$100,'전국 민방위 비상급수시설 현황'!$B$11:$B$100,"부산",'전국 민방위 비상급수시설 현황'!$E$11:$E$100,"지자체",'전국 민방위 비상급수시설 현황'!$O$11:$O$100,"지정해제")-SUMIFS('전국 민방위 비상급수시설 현황'!$J$11:$J$100,'전국 민방위 비상급수시설 현황'!$B$11:$B$100,"부산",'전국 민방위 비상급수시설 현황'!$E$11:$E$100,"지자체",'전국 민방위 비상급수시설 현황'!$O$11:$O$100,"지정해제")
-SUMIFS('전국 민방위 비상급수시설 현황'!$J$11:$J$100,'전국 민방위 비상급수시설 현황'!$B$11:$B$100,"부산",'전국 민방위 비상급수시설 현황'!$E$11:$E$100,"지자체",'전국 민방위 비상급수시설 현황'!$O$11:$O$100,"폐공")</f>
        <v>0</v>
      </c>
      <c r="R10" s="21">
        <f>COUNTIFS('전국 민방위 비상급수시설 현황'!$B$11:$B$100,"부산",'전국 민방위 비상급수시설 현황'!$E$11:$E$100,"공공용")*COUNTIFS('전국 민방위 비상급수시설 현황'!$B$11:$B$100,"부산",'전국 민방위 비상급수시설 현황'!$E$11:$E$100,"공공용",'전국 민방위 비상급수시설 현황'!$O$11:$O$100,"지정해제")
-COUNTIFS('전국 민방위 비상급수시설 현황'!$B$11:$B$100,"부산",'전국 민방위 비상급수시설 현황'!$E$11:$E$100,"공공용",'전국 민방위 비상급수시설 현황'!$O$11:$O$100,"폐공")</f>
        <v>0</v>
      </c>
      <c r="S10" s="21">
        <f>-SUMIFS('전국 민방위 비상급수시설 현황'!$J$11:$J$100,'전국 민방위 비상급수시설 현황'!$B$11:$B$100,"부산",'전국 민방위 비상급수시설 현황'!$E$11:$E$100,"공공용",'전국 민방위 비상급수시설 현황'!$O$11:$O$100,"지정해제")-SUMIFS('전국 민방위 비상급수시설 현황'!$J$11:$J$100,'전국 민방위 비상급수시설 현황'!$B$11:$B$100,"부산",'전국 민방위 비상급수시설 현황'!$E$11:$E$100,"공공용",'전국 민방위 비상급수시설 현황'!$O$11:$O$100,"지정해제")
-SUMIFS('전국 민방위 비상급수시설 현황'!$J$11:$J$100,'전국 민방위 비상급수시설 현황'!$B$11:$B$100,"부산",'전국 민방위 비상급수시설 현황'!$E$11:$E$100,"공공용",'전국 민방위 비상급수시설 현황'!$O$11:$O$100,"폐공")</f>
        <v>0</v>
      </c>
    </row>
    <row r="11" spans="1:19" ht="26.25" customHeight="1">
      <c r="A11" s="21" t="s">
        <v>35</v>
      </c>
      <c r="B11" s="24"/>
      <c r="C11" s="22">
        <f t="shared" si="7"/>
        <v>0</v>
      </c>
      <c r="D11" s="22">
        <f t="shared" si="8"/>
        <v>0</v>
      </c>
      <c r="E11" s="23" t="e">
        <f t="shared" si="9"/>
        <v>#DIV/0!</v>
      </c>
      <c r="F11" s="22">
        <f t="shared" si="10"/>
        <v>0</v>
      </c>
      <c r="G11" s="22">
        <f>SUMIFS('전국 민방위 비상급수시설 현황'!$J$11:$J$100,'전국 민방위 비상급수시설 현황'!$B$11:$B$100,"대구",'전국 민방위 비상급수시설 현황'!$F$11:$F$100,"음용수")-SUMIFS('전국 민방위 비상급수시설 현황'!$J$11:$J$100,'전국 민방위 비상급수시설 현황'!$B$11:$B$100,"대구",'전국 민방위 비상급수시설 현황'!$F$11:$F$100,"음용수",'전국 민방위 비상급수시설 현황'!$O$11:$O$100,"지정해제")-SUMIFS('전국 민방위 비상급수시설 현황'!$J$11:$J$100,'전국 민방위 비상급수시설 현황'!$B$11:$B$100,"대구",'전국 민방위 비상급수시설 현황'!$F$11:$F$100,"음용수",'전국 민방위 비상급수시설 현황'!$O$11:$O$100,"폐공")</f>
        <v>0</v>
      </c>
      <c r="H11" s="23" t="e">
        <f t="shared" si="11"/>
        <v>#DIV/0!</v>
      </c>
      <c r="I11" s="22">
        <f t="shared" si="12"/>
        <v>0</v>
      </c>
      <c r="J11" s="22">
        <f>SUMIFS('전국 민방위 비상급수시설 현황'!$J$11:$J$100,'전국 민방위 비상급수시설 현황'!$B$11:$B$100,"대구",'전국 민방위 비상급수시설 현황'!$F$11:$F$100,"생활용수")-SUMIFS('전국 민방위 비상급수시설 현황'!$J$11:$J$100,'전국 민방위 비상급수시설 현황'!$B$11:$B$100,"대구",'전국 민방위 비상급수시설 현황'!$F$11:$F$100,"생활용수",'전국 민방위 비상급수시설 현황'!$O$11:$O$100,"지정해제")-SUMIFS('전국 민방위 비상급수시설 현황'!$J$11:$J$100,'전국 민방위 비상급수시설 현황'!$B$11:$B$100,"대구",'전국 민방위 비상급수시설 현황'!$F$11:$F$100,"생활용수",'전국 민방위 비상급수시설 현황'!$O$11:$O$100,"폐공")</f>
        <v>0</v>
      </c>
      <c r="K11" s="23" t="e">
        <f t="shared" si="13"/>
        <v>#DIV/0!</v>
      </c>
      <c r="L11" s="22">
        <f t="shared" si="5"/>
        <v>0</v>
      </c>
      <c r="M11" s="22">
        <f t="shared" si="6"/>
        <v>0</v>
      </c>
      <c r="N11" s="21">
        <f>COUNTIFS('전국 민방위 비상급수시설 현황'!$B$11:$B$100,"대구",'전국 민방위 비상급수시설 현황'!$E$11:$E$100,"정부지원")*COUNTIFS('전국 민방위 비상급수시설 현황'!$B$11:$B$100,"대구",'전국 민방위 비상급수시설 현황'!$E$11:$E$100,"정부지원",'전국 민방위 비상급수시설 현황'!$O$11:$O$100,"지정해제")
-COUNTIFS('전국 민방위 비상급수시설 현황'!$B$11:$B$100,"대구",'전국 민방위 비상급수시설 현황'!$E$11:$E$100,"정부지원",'전국 민방위 비상급수시설 현황'!$O$11:$O$100,"폐공")</f>
        <v>0</v>
      </c>
      <c r="O11" s="21">
        <f>-SUMIFS('전국 민방위 비상급수시설 현황'!$J$11:$J$100,'전국 민방위 비상급수시설 현황'!$B$11:$B$100,"대구",'전국 민방위 비상급수시설 현황'!$E$11:$E$100,"정부지원",'전국 민방위 비상급수시설 현황'!$O$11:$O$100,"폐공")-SUMIFS('전국 민방위 비상급수시설 현황'!$J$11:$J$100,'전국 민방위 비상급수시설 현황'!$B$11:$B$100,"대구",'전국 민방위 비상급수시설 현황'!$E$11:$E$100,"정부지원",'전국 민방위 비상급수시설 현황'!$O$11:$O$100,"지정해제")
-SUMIFS('전국 민방위 비상급수시설 현황'!$J$11:$J$100,'전국 민방위 비상급수시설 현황'!$B$11:$B$100,"대구",'전국 민방위 비상급수시설 현황'!$E$11:$E$100,"정부지원",'전국 민방위 비상급수시설 현황'!$O$11:$O$100,"폐공")</f>
        <v>0</v>
      </c>
      <c r="P11" s="21">
        <f>COUNTIFS('전국 민방위 비상급수시설 현황'!$B$11:$B$100,"대구",'전국 민방위 비상급수시설 현황'!$E$11:$E$100,"지자체")*COUNTIFS('전국 민방위 비상급수시설 현황'!$B$11:$B$100,"대구",'전국 민방위 비상급수시설 현황'!$E$11:$E$100,"지자체",'전국 민방위 비상급수시설 현황'!$O$11:$O$100,"지정해제")
-COUNTIFS('전국 민방위 비상급수시설 현황'!$B$11:$B$100,"대구",'전국 민방위 비상급수시설 현황'!$E$11:$E$100,"지자체",'전국 민방위 비상급수시설 현황'!$O$11:$O$100,"폐공")</f>
        <v>0</v>
      </c>
      <c r="Q11" s="21">
        <f>-SUMIFS('전국 민방위 비상급수시설 현황'!$J$11:$J$100,'전국 민방위 비상급수시설 현황'!$B$11:$B$100,"대구",'전국 민방위 비상급수시설 현황'!$E$11:$E$100,"지자체",'전국 민방위 비상급수시설 현황'!$O$11:$O$100,"폐공")-SUMIFS('전국 민방위 비상급수시설 현황'!$J$11:$J$100,'전국 민방위 비상급수시설 현황'!$B$11:$B$100,"대구",'전국 민방위 비상급수시설 현황'!$E$11:$E$100,"지자체",'전국 민방위 비상급수시설 현황'!$O$11:$O$100,"지정해제")
-SUMIFS('전국 민방위 비상급수시설 현황'!$J$11:$J$100,'전국 민방위 비상급수시설 현황'!$B$11:$B$100,"대구",'전국 민방위 비상급수시설 현황'!$E$11:$E$100,"지자체",'전국 민방위 비상급수시설 현황'!$O$11:$O$100,"폐공")</f>
        <v>0</v>
      </c>
      <c r="R11" s="21">
        <f>COUNTIFS('전국 민방위 비상급수시설 현황'!$B$11:$B$100,"대구",'전국 민방위 비상급수시설 현황'!$E$11:$E$100,"공공용")*COUNTIFS('전국 민방위 비상급수시설 현황'!$B$11:$B$100,"대구",'전국 민방위 비상급수시설 현황'!$E$11:$E$100,"공공용",'전국 민방위 비상급수시설 현황'!$O$11:$O$100,"지정해제")
-COUNTIFS('전국 민방위 비상급수시설 현황'!$B$11:$B$100,"대구",'전국 민방위 비상급수시설 현황'!$E$11:$E$100,"공공용",'전국 민방위 비상급수시설 현황'!$O$11:$O$100,"폐공")</f>
        <v>0</v>
      </c>
      <c r="S11" s="21">
        <f>-SUMIFS('전국 민방위 비상급수시설 현황'!$J$11:$J$100,'전국 민방위 비상급수시설 현황'!$B$11:$B$100,"대구",'전국 민방위 비상급수시설 현황'!$E$11:$E$100,"공공용",'전국 민방위 비상급수시설 현황'!$O$11:$O$100,"폐공")-SUMIFS('전국 민방위 비상급수시설 현황'!$J$11:$J$100,'전국 민방위 비상급수시설 현황'!$B$11:$B$100,"대구",'전국 민방위 비상급수시설 현황'!$E$11:$E$100,"공공용",'전국 민방위 비상급수시설 현황'!$O$11:$O$100,"지정해제")
-SUMIFS('전국 민방위 비상급수시설 현황'!$J$11:$J$100,'전국 민방위 비상급수시설 현황'!$B$11:$B$100,"대구",'전국 민방위 비상급수시설 현황'!$E$11:$E$100,"공공용",'전국 민방위 비상급수시설 현황'!$O$11:$O$100,"폐공")</f>
        <v>0</v>
      </c>
    </row>
    <row r="12" spans="1:19" ht="26.25" customHeight="1">
      <c r="A12" s="21" t="s">
        <v>36</v>
      </c>
      <c r="B12" s="24">
        <v>2948542</v>
      </c>
      <c r="C12" s="22">
        <f t="shared" si="7"/>
        <v>73713.55</v>
      </c>
      <c r="D12" s="22">
        <f t="shared" si="8"/>
        <v>5991</v>
      </c>
      <c r="E12" s="23">
        <f t="shared" si="9"/>
        <v>8.1274066979544465E-2</v>
      </c>
      <c r="F12" s="22">
        <f t="shared" si="10"/>
        <v>26536.878000000001</v>
      </c>
      <c r="G12" s="22">
        <f>SUMIFS('전국 민방위 비상급수시설 현황'!$J$11:$J$100,'전국 민방위 비상급수시설 현황'!$B$11:$B$100,"인천",'전국 민방위 비상급수시설 현황'!$F$11:$F$100,"음용수")-SUMIFS('전국 민방위 비상급수시설 현황'!$J$11:$J$100,'전국 민방위 비상급수시설 현황'!$B$11:$B$100,"인천",'전국 민방위 비상급수시설 현황'!$F$11:$F$100,"음용수",'전국 민방위 비상급수시설 현황'!$O$11:$O$100,"지정해제")-SUMIFS('전국 민방위 비상급수시설 현황'!$J$11:$J$100,'전국 민방위 비상급수시설 현황'!$B$11:$B$100,"인천",'전국 민방위 비상급수시설 현황'!$F$11:$F$100,"음용수",'전국 민방위 비상급수시설 현황'!$O$11:$O$100,"폐공")</f>
        <v>2205</v>
      </c>
      <c r="H12" s="23">
        <f t="shared" si="11"/>
        <v>8.3091914580155204E-2</v>
      </c>
      <c r="I12" s="22">
        <f t="shared" si="12"/>
        <v>47176.671999999999</v>
      </c>
      <c r="J12" s="22">
        <f>SUMIFS('전국 민방위 비상급수시설 현황'!$J$11:$J$100,'전국 민방위 비상급수시설 현황'!$B$11:$B$100,"인천",'전국 민방위 비상급수시설 현황'!$F$11:$F$100,"생활용수")-SUMIFS('전국 민방위 비상급수시설 현황'!$J$11:$J$100,'전국 민방위 비상급수시설 현황'!$B$11:$B$100,"인천",'전국 민방위 비상급수시설 현황'!$F$11:$F$100,"생활용수",'전국 민방위 비상급수시설 현황'!$O$11:$O$100,"지정해제")-SUMIFS('전국 민방위 비상급수시설 현황'!$J$11:$J$100,'전국 민방위 비상급수시설 현황'!$B$11:$B$100,"인천",'전국 민방위 비상급수시설 현황'!$F$11:$F$100,"생활용수",'전국 민방위 비상급수시설 현황'!$O$11:$O$100,"폐공")</f>
        <v>3786</v>
      </c>
      <c r="K12" s="23">
        <f t="shared" si="13"/>
        <v>8.0251527704200923E-2</v>
      </c>
      <c r="L12" s="22">
        <f t="shared" si="5"/>
        <v>90</v>
      </c>
      <c r="M12" s="22">
        <f t="shared" si="6"/>
        <v>6892</v>
      </c>
      <c r="N12" s="21">
        <f>COUNTIFS('전국 민방위 비상급수시설 현황'!$B$11:$B$100,"인천",'전국 민방위 비상급수시설 현황'!$E$11:$E$100,"정부지원")-COUNTIFS('전국 민방위 비상급수시설 현황'!$B$11:$B$100,"대구",'전국 민방위 비상급수시설 현황'!$E$11:$E$100,"정부지원",'전국 민방위 비상급수시설 현황'!$O$11:$O$100,"지정해제")
 - COUNTIFS('전국 민방위 비상급수시설 현황'!$B$11:$B$100,"대구",'전국 민방위 비상급수시설 현황'!$E$11:$E$100,"정부지원",'전국 민방위 비상급수시설 현황'!$O$11:$O$100,"폐공")</f>
        <v>6</v>
      </c>
      <c r="O12" s="21">
        <f>SUMIFS('전국 민방위 비상급수시설 현황'!$J$11:$J$100,'전국 민방위 비상급수시설 현황'!$B$11:$B$100,"인천",'전국 민방위 비상급수시설 현황'!$E$11:$E$100,"정부지원")-SUMIFS('전국 민방위 비상급수시설 현황'!$J$11:$J$100,'전국 민방위 비상급수시설 현황'!$B$11:$B$100,"인천",'전국 민방위 비상급수시설 현황'!$E$11:$E$100,"정부지원",'전국 민방위 비상급수시설 현황'!$O$11:$O$100,"지정해제")
-SUMIFS('전국 민방위 비상급수시설 현황'!$J$11:$J$100,'전국 민방위 비상급수시설 현황'!$B$11:$B$100,"인천",'전국 민방위 비상급수시설 현황'!$E$11:$E$100,"정부지원",'전국 민방위 비상급수시설 현황'!$O$11:$O$100,"폐공")</f>
        <v>920</v>
      </c>
      <c r="P12" s="21">
        <f>COUNTIFS('전국 민방위 비상급수시설 현황'!$B$11:$B$100,"인천",'전국 민방위 비상급수시설 현황'!$E$11:$E$100,"지자체")-COUNTIFS('전국 민방위 비상급수시설 현황'!$B$11:$B$100,"대구",'전국 민방위 비상급수시설 현황'!$E$11:$E$100,"지자체",'전국 민방위 비상급수시설 현황'!$O$11:$O$100,"지정해제")
 - COUNTIFS('전국 민방위 비상급수시설 현황'!$B$11:$B$100,"대구",'전국 민방위 비상급수시설 현황'!$E$11:$E$100,"지자체",'전국 민방위 비상급수시설 현황'!$O$11:$O$100,"폐공")</f>
        <v>1</v>
      </c>
      <c r="Q12" s="21">
        <f>SUMIFS('전국 민방위 비상급수시설 현황'!$J$11:$J$100,'전국 민방위 비상급수시설 현황'!$B$11:$B$100,"인천",'전국 민방위 비상급수시설 현황'!$E$11:$E$100,"지자체")-SUMIFS('전국 민방위 비상급수시설 현황'!$J$11:$J$100,'전국 민방위 비상급수시설 현황'!$B$11:$B$100,"인천",'전국 민방위 비상급수시설 현황'!$E$11:$E$100,"지자체",'전국 민방위 비상급수시설 현황'!$O$11:$O$100,"지정해제")
-SUMIFS('전국 민방위 비상급수시설 현황'!$J$11:$J$100,'전국 민방위 비상급수시설 현황'!$B$11:$B$100,"인천",'전국 민방위 비상급수시설 현황'!$E$11:$E$100,"지자체",'전국 민방위 비상급수시설 현황'!$O$11:$O$100,"폐공")</f>
        <v>51</v>
      </c>
      <c r="R12" s="21">
        <f>COUNTIFS('전국 민방위 비상급수시설 현황'!$B$11:$B$100,"인천",'전국 민방위 비상급수시설 현황'!$E$11:$E$100,"공공용")-COUNTIFS('전국 민방위 비상급수시설 현황'!$B$11:$B$100,"대구",'전국 민방위 비상급수시설 현황'!$E$11:$E$100,"공공용",'전국 민방위 비상급수시설 현황'!$O$11:$O$100,"지정해제")
 - COUNTIFS('전국 민방위 비상급수시설 현황'!$B$11:$B$100,"대구",'전국 민방위 비상급수시설 현황'!$E$11:$E$100,"공공용",'전국 민방위 비상급수시설 현황'!$O$11:$O$100,"폐공")</f>
        <v>83</v>
      </c>
      <c r="S12" s="21">
        <f>SUMIFS('전국 민방위 비상급수시설 현황'!$J$11:$J$100,'전국 민방위 비상급수시설 현황'!$B$11:$B$100,"인천",'전국 민방위 비상급수시설 현황'!$E$11:$E$100,"공공용")-SUMIFS('전국 민방위 비상급수시설 현황'!$J$11:$J$100,'전국 민방위 비상급수시설 현황'!$B$11:$B$100,"인천",'전국 민방위 비상급수시설 현황'!$E$11:$E$100,"공공용",'전국 민방위 비상급수시설 현황'!$O$11:$O$100,"지정해제")
-SUMIFS('전국 민방위 비상급수시설 현황'!$J$11:$J$100,'전국 민방위 비상급수시설 현황'!$B$11:$B$100,"인천",'전국 민방위 비상급수시설 현황'!$E$11:$E$100,"공공용",'전국 민방위 비상급수시설 현황'!$O$11:$O$100,"폐공")</f>
        <v>5921</v>
      </c>
    </row>
    <row r="13" spans="1:19" ht="26.25" customHeight="1">
      <c r="A13" s="21" t="s">
        <v>37</v>
      </c>
      <c r="B13" s="24"/>
      <c r="C13" s="22">
        <f t="shared" si="7"/>
        <v>0</v>
      </c>
      <c r="D13" s="22"/>
      <c r="E13" s="23"/>
      <c r="F13" s="22"/>
      <c r="G13" s="22"/>
      <c r="H13" s="23"/>
      <c r="I13" s="22"/>
      <c r="J13" s="22"/>
      <c r="K13" s="23"/>
      <c r="L13" s="22"/>
      <c r="M13" s="22"/>
      <c r="N13" s="21"/>
      <c r="O13" s="21">
        <f>SUMIFS('전국 민방위 비상급수시설 현황'!$J$11:$J$100,'전국 민방위 비상급수시설 현황'!$B$11:$B$100,"광주",'전국 민방위 비상급수시설 현황'!$E$11:$E$100,"정부지원")-SUMIFS('전국 민방위 비상급수시설 현황'!$J$11:$J$100,'전국 민방위 비상급수시설 현황'!$B$11:$B$100,"광주",'전국 민방위 비상급수시설 현황'!$E$11:$E$100,"정부지원",'전국 민방위 비상급수시설 현황'!$O$11:$O$100,"지정해제")
-SUMIFS('전국 민방위 비상급수시설 현황'!$J$11:$J$100,'전국 민방위 비상급수시설 현황'!$B$11:$B$100,"광주",'전국 민방위 비상급수시설 현황'!$E$11:$E$100,"정부지원",'전국 민방위 비상급수시설 현황'!$O$11:$O$100,"폐공")</f>
        <v>0</v>
      </c>
      <c r="P13" s="21">
        <f>COUNTIFS('전국 민방위 비상급수시설 현황'!$B$11:$B$100,"광주",'전국 민방위 비상급수시설 현황'!$E$11:$E$100,"지자체")-COUNTIFS('전국 민방위 비상급수시설 현황'!$B$11:$B$100,"광주",'전국 민방위 비상급수시설 현황'!$E$11:$E$100,"지자체",'전국 민방위 비상급수시설 현황'!$O$11:$O$100,"지정해제")
 - COUNTIFS('전국 민방위 비상급수시설 현황'!$B$11:$B$100,"광주",'전국 민방위 비상급수시설 현황'!$E$11:$E$100,"지자체",'전국 민방위 비상급수시설 현황'!$O$11:$O$100,"폐공")</f>
        <v>0</v>
      </c>
      <c r="Q13" s="21">
        <f>SUMIFS('전국 민방위 비상급수시설 현황'!$J$11:$J$100,'전국 민방위 비상급수시설 현황'!$B$11:$B$100,"광주",'전국 민방위 비상급수시설 현황'!$E$11:$E$100,"지자체")-SUMIFS('전국 민방위 비상급수시설 현황'!$J$11:$J$100,'전국 민방위 비상급수시설 현황'!$B$11:$B$100,"광주",'전국 민방위 비상급수시설 현황'!$E$11:$E$100,"지자체",'전국 민방위 비상급수시설 현황'!$O$11:$O$100,"지정해제")
-SUMIFS('전국 민방위 비상급수시설 현황'!$J$11:$J$100,'전국 민방위 비상급수시설 현황'!$B$11:$B$100,"광주",'전국 민방위 비상급수시설 현황'!$E$11:$E$100,"지자체",'전국 민방위 비상급수시설 현황'!$O$11:$O$100,"폐공")</f>
        <v>0</v>
      </c>
      <c r="R13" s="21">
        <f>COUNTIFS('전국 민방위 비상급수시설 현황'!$B$11:$B$100,"광주",'전국 민방위 비상급수시설 현황'!$E$11:$E$100,"공공용")-COUNTIFS('전국 민방위 비상급수시설 현황'!$B$11:$B$100,"광주",'전국 민방위 비상급수시설 현황'!$E$11:$E$100,"공공용",'전국 민방위 비상급수시설 현황'!$O$11:$O$100,"지정해제")
 - COUNTIFS('전국 민방위 비상급수시설 현황'!$B$11:$B$100,"광주",'전국 민방위 비상급수시설 현황'!$E$11:$E$100,"공공용",'전국 민방위 비상급수시설 현황'!$O$11:$O$100,"폐공")</f>
        <v>0</v>
      </c>
      <c r="S13" s="21">
        <f>SUMIFS('전국 민방위 비상급수시설 현황'!$J$11:$J$100,'전국 민방위 비상급수시설 현황'!$B$11:$B$100,"광주",'전국 민방위 비상급수시설 현황'!$E$11:$E$100,"공공용")-SUMIFS('전국 민방위 비상급수시설 현황'!$J$11:$J$100,'전국 민방위 비상급수시설 현황'!$B$11:$B$100,"광주",'전국 민방위 비상급수시설 현황'!$E$11:$E$100,"공공용",'전국 민방위 비상급수시설 현황'!$O$11:$O$100,"지정해제")
-SUMIFS('전국 민방위 비상급수시설 현황'!$J$11:$J$100,'전국 민방위 비상급수시설 현황'!$B$11:$B$100,"광주",'전국 민방위 비상급수시설 현황'!$E$11:$E$100,"공공용",'전국 민방위 비상급수시설 현황'!$O$11:$O$100,"폐공")</f>
        <v>0</v>
      </c>
    </row>
    <row r="14" spans="1:19" ht="26.25" customHeight="1">
      <c r="A14" s="21" t="s">
        <v>38</v>
      </c>
      <c r="B14" s="24"/>
      <c r="C14" s="22">
        <f t="shared" si="7"/>
        <v>0</v>
      </c>
      <c r="D14" s="22">
        <f t="shared" si="8"/>
        <v>0</v>
      </c>
      <c r="E14" s="23" t="e">
        <f t="shared" si="9"/>
        <v>#DIV/0!</v>
      </c>
      <c r="F14" s="22">
        <f t="shared" si="10"/>
        <v>0</v>
      </c>
      <c r="G14" s="22">
        <f>SUMIFS('전국 민방위 비상급수시설 현황'!$J$11:$J$100,'전국 민방위 비상급수시설 현황'!$B$11:$B$100,"대전",'전국 민방위 비상급수시설 현황'!$F$11:$F$100,"음용수")-SUMIFS('전국 민방위 비상급수시설 현황'!$J$11:$J$100,'전국 민방위 비상급수시설 현황'!$B$11:$B$100,"대전",'전국 민방위 비상급수시설 현황'!$F$11:$F$100,"음용수",'전국 민방위 비상급수시설 현황'!$O$11:$O$100,"지정해제")-SUMIFS('전국 민방위 비상급수시설 현황'!$J$11:$J$100,'전국 민방위 비상급수시설 현황'!$B$11:$B$100,"대전",'전국 민방위 비상급수시설 현황'!$F$11:$F$100,"음용수",'전국 민방위 비상급수시설 현황'!$O$11:$O$100,"폐공")</f>
        <v>0</v>
      </c>
      <c r="H14" s="23" t="e">
        <f t="shared" si="11"/>
        <v>#DIV/0!</v>
      </c>
      <c r="I14" s="22">
        <f t="shared" si="12"/>
        <v>0</v>
      </c>
      <c r="J14" s="22">
        <f>SUMIFS('전국 민방위 비상급수시설 현황'!$J$11:$J$100,'전국 민방위 비상급수시설 현황'!$B$11:$B$100,"대전",'전국 민방위 비상급수시설 현황'!$F$11:$F$100,"생활용수")-SUMIFS('전국 민방위 비상급수시설 현황'!$J$11:$J$100,'전국 민방위 비상급수시설 현황'!$B$11:$B$100,"대전",'전국 민방위 비상급수시설 현황'!$F$11:$F$100,"생활용수",'전국 민방위 비상급수시설 현황'!$O$11:$O$100,"지정해제")-SUMIFS('전국 민방위 비상급수시설 현황'!$J$11:$J$100,'전국 민방위 비상급수시설 현황'!$B$11:$B$100,"대전",'전국 민방위 비상급수시설 현황'!$F$11:$F$100,"생활용수",'전국 민방위 비상급수시설 현황'!$O$11:$O$100,"폐공")</f>
        <v>0</v>
      </c>
      <c r="K14" s="23" t="e">
        <f t="shared" si="13"/>
        <v>#DIV/0!</v>
      </c>
      <c r="L14" s="22">
        <f t="shared" si="5"/>
        <v>0</v>
      </c>
      <c r="M14" s="22">
        <f t="shared" si="6"/>
        <v>0</v>
      </c>
      <c r="N14" s="21">
        <f>COUNTIFS('전국 민방위 비상급수시설 현황'!$B$11:$B$100,"대전",'전국 민방위 비상급수시설 현황'!$E$11:$E$100,"정부지원")-COUNTIFS('전국 민방위 비상급수시설 현황'!$B$11:$B$100,"대전",'전국 민방위 비상급수시설 현황'!$E$11:$E$100,"정부지원",'전국 민방위 비상급수시설 현황'!$O$11:$O$100,"지정해제")
 - COUNTIFS('전국 민방위 비상급수시설 현황'!$B$11:$B100,"대전",'전국 민방위 비상급수시설 현황'!$E$11:$E$100,"정부지원",'전국 민방위 비상급수시설 현황'!$O$11:$O$100,"폐공")</f>
        <v>0</v>
      </c>
      <c r="O14" s="21">
        <f>SUMIFS('전국 민방위 비상급수시설 현황'!$J$11:$J$100,'전국 민방위 비상급수시설 현황'!$B$11:$B$100,"대전",'전국 민방위 비상급수시설 현황'!$E$11:$E$100,"정부지원")-SUMIFS('전국 민방위 비상급수시설 현황'!$J$11:$J$100,'전국 민방위 비상급수시설 현황'!$B$11:$B$100,"대전",'전국 민방위 비상급수시설 현황'!$E$11:$E$100,"정부지원",'전국 민방위 비상급수시설 현황'!$O$11:$O$100,"지정해제")
-SUMIFS('전국 민방위 비상급수시설 현황'!$J$11:$J$100,'전국 민방위 비상급수시설 현황'!$B$11:$B$100,"대전",'전국 민방위 비상급수시설 현황'!$E$11:$E$100,"정부지원",'전국 민방위 비상급수시설 현황'!$O$11:$O$100,"폐공")</f>
        <v>0</v>
      </c>
      <c r="P14" s="21">
        <f>COUNTIFS('전국 민방위 비상급수시설 현황'!$B$11:$B$100,"대전",'전국 민방위 비상급수시설 현황'!$E$11:$E$100,"지자체")-COUNTIFS('전국 민방위 비상급수시설 현황'!$B$11:$B$100,"대전",'전국 민방위 비상급수시설 현황'!$E$11:$E$100,"지자체",'전국 민방위 비상급수시설 현황'!$O$11:$O$100,"지정해제")
 - COUNTIFS('전국 민방위 비상급수시설 현황'!$B$11:$B100,"대전",'전국 민방위 비상급수시설 현황'!$E$11:$E$100,"지자체",'전국 민방위 비상급수시설 현황'!$O$11:$O$100,"폐공")</f>
        <v>0</v>
      </c>
      <c r="Q14" s="21">
        <f>SUMIFS('전국 민방위 비상급수시설 현황'!$J$11:$J$100,'전국 민방위 비상급수시설 현황'!$B$11:$B$100,"대전",'전국 민방위 비상급수시설 현황'!$E$11:$E$100,"지자체")-SUMIFS('전국 민방위 비상급수시설 현황'!$J$11:$J$100,'전국 민방위 비상급수시설 현황'!$B$11:$B$100,"대전",'전국 민방위 비상급수시설 현황'!$E$11:$E$100,"지자체",'전국 민방위 비상급수시설 현황'!$O$11:$O$100,"지정해제")
-SUMIFS('전국 민방위 비상급수시설 현황'!$J$11:$J$100,'전국 민방위 비상급수시설 현황'!$B$11:$B$100,"대전",'전국 민방위 비상급수시설 현황'!$E$11:$E$100,"지자체",'전국 민방위 비상급수시설 현황'!$O$11:$O$100,"폐공")</f>
        <v>0</v>
      </c>
      <c r="R14" s="21">
        <f>COUNTIFS('전국 민방위 비상급수시설 현황'!$B$11:$B$100,"대전",'전국 민방위 비상급수시설 현황'!$E$11:$E$100,"공공용")-COUNTIFS('전국 민방위 비상급수시설 현황'!$B$11:$B$100,"대전",'전국 민방위 비상급수시설 현황'!$E$11:$E$100,"공공용",'전국 민방위 비상급수시설 현황'!$O$11:$O$100,"지정해제")
 - COUNTIFS('전국 민방위 비상급수시설 현황'!$B$11:$B100,"대전",'전국 민방위 비상급수시설 현황'!$E$11:$E$100,"공공용",'전국 민방위 비상급수시설 현황'!$O$11:$O$100,"폐공")</f>
        <v>0</v>
      </c>
      <c r="S14" s="21">
        <f>SUMIFS('전국 민방위 비상급수시설 현황'!$J$11:$J$100,'전국 민방위 비상급수시설 현황'!$B$11:$B$100,"대전",'전국 민방위 비상급수시설 현황'!$E$11:$E$100,"공공용")-SUMIFS('전국 민방위 비상급수시설 현황'!$J$11:$J$100,'전국 민방위 비상급수시설 현황'!$B$11:$B$100,"대전",'전국 민방위 비상급수시설 현황'!$E$11:$E$100,"공공용",'전국 민방위 비상급수시설 현황'!$O$11:$O$100,"지정해제")
-SUMIFS('전국 민방위 비상급수시설 현황'!$J$11:$J$100,'전국 민방위 비상급수시설 현황'!$B$11:$B$100,"대전",'전국 민방위 비상급수시설 현황'!$E$11:$E$100,"공공용",'전국 민방위 비상급수시설 현황'!$O$11:$O$100,"폐공")</f>
        <v>0</v>
      </c>
    </row>
    <row r="15" spans="1:19" ht="26.25" customHeight="1">
      <c r="A15" s="21" t="s">
        <v>39</v>
      </c>
      <c r="B15" s="24"/>
      <c r="C15" s="22">
        <f t="shared" si="7"/>
        <v>0</v>
      </c>
      <c r="D15" s="22">
        <f t="shared" si="8"/>
        <v>0</v>
      </c>
      <c r="E15" s="23" t="e">
        <f t="shared" si="9"/>
        <v>#DIV/0!</v>
      </c>
      <c r="F15" s="22">
        <f t="shared" si="10"/>
        <v>0</v>
      </c>
      <c r="G15" s="22">
        <f>SUMIFS('전국 민방위 비상급수시설 현황'!$J$11:$J$100,'전국 민방위 비상급수시설 현황'!$B$11:$B$100,"울산",'전국 민방위 비상급수시설 현황'!$F$11:$F$100,"음용수")-SUMIFS('전국 민방위 비상급수시설 현황'!$J$11:$J$100,'전국 민방위 비상급수시설 현황'!$B$11:$B$100,"울산",'전국 민방위 비상급수시설 현황'!$F$11:$F$100,"음용수",'전국 민방위 비상급수시설 현황'!$O$11:$O$100,"지정해제")-SUMIFS('전국 민방위 비상급수시설 현황'!$J$11:$J$100,'전국 민방위 비상급수시설 현황'!$B$11:$B$100,"울산",'전국 민방위 비상급수시설 현황'!$F$11:$F$100,"음용수",'전국 민방위 비상급수시설 현황'!$O$11:$O$100,"폐공")</f>
        <v>0</v>
      </c>
      <c r="H15" s="23" t="e">
        <f t="shared" si="11"/>
        <v>#DIV/0!</v>
      </c>
      <c r="I15" s="22">
        <f t="shared" si="12"/>
        <v>0</v>
      </c>
      <c r="J15" s="22">
        <f>SUMIFS('전국 민방위 비상급수시설 현황'!$J$11:$J$100,'전국 민방위 비상급수시설 현황'!$B$11:$B$100,"울산",'전국 민방위 비상급수시설 현황'!$F$11:$F$100,"생활용수")-SUMIFS('전국 민방위 비상급수시설 현황'!$J$11:$J$100,'전국 민방위 비상급수시설 현황'!$B$11:$B$100,"울산",'전국 민방위 비상급수시설 현황'!$F$11:$F$100,"생활용수",'전국 민방위 비상급수시설 현황'!$O$11:$O$100,"지정해제")-SUMIFS('전국 민방위 비상급수시설 현황'!$J$11:$J$100,'전국 민방위 비상급수시설 현황'!$B$11:$B$100,"울산",'전국 민방위 비상급수시설 현황'!$F$11:$F$100,"생활용수",'전국 민방위 비상급수시설 현황'!$O$11:$O$100,"폐공")</f>
        <v>0</v>
      </c>
      <c r="K15" s="23" t="e">
        <f t="shared" si="13"/>
        <v>#DIV/0!</v>
      </c>
      <c r="L15" s="22">
        <f t="shared" si="5"/>
        <v>0</v>
      </c>
      <c r="M15" s="22">
        <f t="shared" si="6"/>
        <v>0</v>
      </c>
      <c r="N15" s="21">
        <f>COUNTIFS('전국 민방위 비상급수시설 현황'!$B$11:$B$100,"울산",'전국 민방위 비상급수시설 현황'!$E$11:$E$100,"정부지원")</f>
        <v>0</v>
      </c>
      <c r="O15" s="21">
        <f>SUMIFS('전국 민방위 비상급수시설 현황'!$J$11:$J$100,'전국 민방위 비상급수시설 현황'!$B$11:$B$100,"울산",'전국 민방위 비상급수시설 현황'!$E$11:$E$100,"정부지원")-SUMIFS('전국 민방위 비상급수시설 현황'!$J$11:$J$100,'전국 민방위 비상급수시설 현황'!$B$11:$B$100,"울산",'전국 민방위 비상급수시설 현황'!$E$11:$E$100,"정부지원",'전국 민방위 비상급수시설 현황'!$O$11:$O$100,"지정해제")
-SUMIFS('전국 민방위 비상급수시설 현황'!$J$11:$J$100,'전국 민방위 비상급수시설 현황'!$B$11:$B$100,"울산",'전국 민방위 비상급수시설 현황'!$E$11:$E$100,"정부지원",'전국 민방위 비상급수시설 현황'!$O$11:$O$100,"폐공")</f>
        <v>0</v>
      </c>
      <c r="P15" s="21">
        <f>COUNTIFS('전국 민방위 비상급수시설 현황'!$B$11:$B$100,"울산",'전국 민방위 비상급수시설 현황'!$E$11:$E$100,"지자체")</f>
        <v>0</v>
      </c>
      <c r="Q15" s="21">
        <f>SUMIFS('전국 민방위 비상급수시설 현황'!$J$11:$J$100,'전국 민방위 비상급수시설 현황'!$B$11:$B$100,"울산",'전국 민방위 비상급수시설 현황'!$E$11:$E$100,"지자체")-SUMIFS('전국 민방위 비상급수시설 현황'!$J$11:$J$100,'전국 민방위 비상급수시설 현황'!$B$11:$B$100,"울산",'전국 민방위 비상급수시설 현황'!$E$11:$E$100,"지자체",'전국 민방위 비상급수시설 현황'!$O$11:$O$100,"지정해제")
-SUMIFS('전국 민방위 비상급수시설 현황'!$J$11:$J$100,'전국 민방위 비상급수시설 현황'!$B$11:$B$100,"울산",'전국 민방위 비상급수시설 현황'!$E$11:$E$100,"지자체",'전국 민방위 비상급수시설 현황'!$O$11:$O$100,"폐공")</f>
        <v>0</v>
      </c>
      <c r="R15" s="21">
        <f>COUNTIFS('전국 민방위 비상급수시설 현황'!$B$11:$B$100,"울산",'전국 민방위 비상급수시설 현황'!$E$11:$E$100,"공공용")</f>
        <v>0</v>
      </c>
      <c r="S15" s="21">
        <f>SUMIFS('전국 민방위 비상급수시설 현황'!$J$11:$J$100,'전국 민방위 비상급수시설 현황'!$B$11:$B$100,"울산",'전국 민방위 비상급수시설 현황'!$E$11:$E$100,"공공용")-SUMIFS('전국 민방위 비상급수시설 현황'!$J$11:$J$100,'전국 민방위 비상급수시설 현황'!$B$11:$B$100,"울산",'전국 민방위 비상급수시설 현황'!$E$11:$E$100,"공공용",'전국 민방위 비상급수시설 현황'!$O$11:$O$100,"지정해제")
-SUMIFS('전국 민방위 비상급수시설 현황'!$J$11:$J$100,'전국 민방위 비상급수시설 현황'!$B$11:$B$100,"울산",'전국 민방위 비상급수시설 현황'!$E$11:$E$100,"공공용",'전국 민방위 비상급수시설 현황'!$O$11:$O$100,"폐공")</f>
        <v>0</v>
      </c>
    </row>
    <row r="16" spans="1:19" ht="26.25" customHeight="1">
      <c r="A16" s="21" t="s">
        <v>40</v>
      </c>
      <c r="B16" s="24"/>
      <c r="C16" s="22">
        <f t="shared" si="7"/>
        <v>0</v>
      </c>
      <c r="D16" s="22">
        <f t="shared" si="8"/>
        <v>0</v>
      </c>
      <c r="E16" s="23" t="e">
        <f t="shared" si="9"/>
        <v>#DIV/0!</v>
      </c>
      <c r="F16" s="22">
        <f t="shared" si="10"/>
        <v>0</v>
      </c>
      <c r="G16" s="22">
        <f>SUMIFS('전국 민방위 비상급수시설 현황'!$J$11:$J$100,'전국 민방위 비상급수시설 현황'!$B$11:$B$100,"세종",'전국 민방위 비상급수시설 현황'!$F$11:$F$100,"음용수")-SUMIFS('전국 민방위 비상급수시설 현황'!$J$11:$J$100,'전국 민방위 비상급수시설 현황'!$B$11:$B$100,"세종",'전국 민방위 비상급수시설 현황'!$F$11:$F$100,"음용수",'전국 민방위 비상급수시설 현황'!$O$11:$O$100,"지정해제")-SUMIFS('전국 민방위 비상급수시설 현황'!$J$11:$J$100,'전국 민방위 비상급수시설 현황'!$B$11:$B$100,"세종",'전국 민방위 비상급수시설 현황'!$F$11:$F$100,"음용수",'전국 민방위 비상급수시설 현황'!$O$11:$O$100,"폐공")</f>
        <v>0</v>
      </c>
      <c r="H16" s="23" t="e">
        <f t="shared" si="11"/>
        <v>#DIV/0!</v>
      </c>
      <c r="I16" s="22">
        <f t="shared" si="12"/>
        <v>0</v>
      </c>
      <c r="J16" s="22">
        <f>SUMIFS('전국 민방위 비상급수시설 현황'!$J$11:$J$100,'전국 민방위 비상급수시설 현황'!$B$11:$B$100,"세종",'전국 민방위 비상급수시설 현황'!$F$11:$F$100,"생활용수")-SUMIFS('전국 민방위 비상급수시설 현황'!$J$11:$J$100,'전국 민방위 비상급수시설 현황'!$B$11:$B$100,"세종",'전국 민방위 비상급수시설 현황'!$F$11:$F$100,"생활용수",'전국 민방위 비상급수시설 현황'!$O$11:$O$100,"지정해제")-SUMIFS('전국 민방위 비상급수시설 현황'!$J$11:$J$100,'전국 민방위 비상급수시설 현황'!$B$11:$B$100,"세종",'전국 민방위 비상급수시설 현황'!$F$11:$F$100,"생활용수",'전국 민방위 비상급수시설 현황'!$O$11:$O$100,"폐공")</f>
        <v>0</v>
      </c>
      <c r="K16" s="23" t="e">
        <f t="shared" si="13"/>
        <v>#DIV/0!</v>
      </c>
      <c r="L16" s="22">
        <f t="shared" si="5"/>
        <v>0</v>
      </c>
      <c r="M16" s="22">
        <f t="shared" si="6"/>
        <v>0</v>
      </c>
      <c r="N16" s="21">
        <f>COUNTIFS('전국 민방위 비상급수시설 현황'!$B$11:$B$100,"세종",'전국 민방위 비상급수시설 현황'!$E$11:$E$100,"정부지원")-COUNTIFS('전국 민방위 비상급수시설 현황'!$B$11:$B$100,"세종",'전국 민방위 비상급수시설 현황'!$E$11:$E$100,"정부지원",'전국 민방위 비상급수시설 현황'!$O$11:$O$100,"지정해제")
 - COUNTIFS('전국 민방위 비상급수시설 현황'!$B$11:$B$100,"세종",'전국 민방위 비상급수시설 현황'!$E$11:$E$100,"정부지원",'전국 민방위 비상급수시설 현황'!$O$11:$O$100,"폐공")</f>
        <v>0</v>
      </c>
      <c r="O16" s="21">
        <f>SUMIFS('전국 민방위 비상급수시설 현황'!$J$11:$J$100,'전국 민방위 비상급수시설 현황'!$B$11:$B$100,"세종",'전국 민방위 비상급수시설 현황'!$E$11:$E$100,"정부지원")-SUMIFS('전국 민방위 비상급수시설 현황'!$J$11:$J$100,'전국 민방위 비상급수시설 현황'!$B$11:$B$100,"세종",'전국 민방위 비상급수시설 현황'!$E$11:$E$100,"정부지원",'전국 민방위 비상급수시설 현황'!$O$11:$O$100,"지정해제")
-SUMIFS('전국 민방위 비상급수시설 현황'!$J$11:$J$100,'전국 민방위 비상급수시설 현황'!$B$11:$B$100,"세종",'전국 민방위 비상급수시설 현황'!$E$11:$E$100,"정부지원",'전국 민방위 비상급수시설 현황'!$O$11:$O$100,"폐공")</f>
        <v>0</v>
      </c>
      <c r="P16" s="21">
        <f>COUNTIFS('전국 민방위 비상급수시설 현황'!$B$11:$B$100,"세종",'전국 민방위 비상급수시설 현황'!$E$11:$E$100,"지자체")-COUNTIFS('전국 민방위 비상급수시설 현황'!$B$11:$B$100,"세종",'전국 민방위 비상급수시설 현황'!$E$11:$E$100,"지자체",'전국 민방위 비상급수시설 현황'!$O$11:$O$100,"지정해제")
 - COUNTIFS('전국 민방위 비상급수시설 현황'!$B$11:$B$100,"세종",'전국 민방위 비상급수시설 현황'!$E$11:$E$100,"지자체",'전국 민방위 비상급수시설 현황'!$O$11:$O$100,"폐공")</f>
        <v>0</v>
      </c>
      <c r="Q16" s="21">
        <f>SUMIFS('전국 민방위 비상급수시설 현황'!$J$11:$J$100,'전국 민방위 비상급수시설 현황'!$B$11:$B$100,"세종",'전국 민방위 비상급수시설 현황'!$E$11:$E$100,"지자체")-SUMIFS('전국 민방위 비상급수시설 현황'!$J$11:$J$100,'전국 민방위 비상급수시설 현황'!$B$11:$B$100,"세종",'전국 민방위 비상급수시설 현황'!$E$11:$E$100,"지자체",'전국 민방위 비상급수시설 현황'!$O$11:$O$100,"지정해제")
-SUMIFS('전국 민방위 비상급수시설 현황'!$J$11:$J$100,'전국 민방위 비상급수시설 현황'!$B$11:$B$100,"세종",'전국 민방위 비상급수시설 현황'!$E$11:$E$100,"지자체",'전국 민방위 비상급수시설 현황'!$O$11:$O$100,"폐공")</f>
        <v>0</v>
      </c>
      <c r="R16" s="21">
        <f>COUNTIFS('전국 민방위 비상급수시설 현황'!$B$11:$B$100,"세종",'전국 민방위 비상급수시설 현황'!$E$11:$E$100,"공공용")-COUNTIFS('전국 민방위 비상급수시설 현황'!$B$11:$B$100,"세종",'전국 민방위 비상급수시설 현황'!$E$11:$E$100,"공공용",'전국 민방위 비상급수시설 현황'!$O$11:$O$100,"지정해제")
 - COUNTIFS('전국 민방위 비상급수시설 현황'!$B$11:$B$100,"세종",'전국 민방위 비상급수시설 현황'!$E$11:$E$100,"공공용",'전국 민방위 비상급수시설 현황'!$O$11:$O$100,"폐공")</f>
        <v>0</v>
      </c>
      <c r="S16" s="21">
        <f>SUMIFS('전국 민방위 비상급수시설 현황'!$J$11:$J$100,'전국 민방위 비상급수시설 현황'!$B$11:$B$100,"세종",'전국 민방위 비상급수시설 현황'!$E$11:$E$100,"공공용")-SUMIFS('전국 민방위 비상급수시설 현황'!$J$11:$J$100,'전국 민방위 비상급수시설 현황'!$B$11:$B$100,"세종",'전국 민방위 비상급수시설 현황'!$E$11:$E$100,"공공용",'전국 민방위 비상급수시설 현황'!$O$11:$O$100,"지정해제")
-SUMIFS('전국 민방위 비상급수시설 현황'!$J$11:$J$100,'전국 민방위 비상급수시설 현황'!$B$11:$B$100,"세종",'전국 민방위 비상급수시설 현황'!$E$11:$E$100,"공공용",'전국 민방위 비상급수시설 현황'!$O$11:$O$100,"폐공")</f>
        <v>0</v>
      </c>
    </row>
    <row r="17" spans="1:19" ht="26.25" customHeight="1">
      <c r="A17" s="21" t="s">
        <v>41</v>
      </c>
      <c r="B17" s="24"/>
      <c r="C17" s="22">
        <f t="shared" si="7"/>
        <v>0</v>
      </c>
      <c r="D17" s="22">
        <f t="shared" si="8"/>
        <v>0</v>
      </c>
      <c r="E17" s="23" t="e">
        <f t="shared" si="9"/>
        <v>#DIV/0!</v>
      </c>
      <c r="F17" s="22">
        <f t="shared" si="10"/>
        <v>0</v>
      </c>
      <c r="G17" s="22">
        <f>SUMIFS('전국 민방위 비상급수시설 현황'!$J$11:$J$100,'전국 민방위 비상급수시설 현황'!$B$11:$B$100,"경기",'전국 민방위 비상급수시설 현황'!$F$11:$F$100,"음용수")-SUMIFS('전국 민방위 비상급수시설 현황'!$J$11:$J$100,'전국 민방위 비상급수시설 현황'!$B$11:$B$100,"경기",'전국 민방위 비상급수시설 현황'!$F$11:$F$100,"음용수",'전국 민방위 비상급수시설 현황'!$O$11:$O$100,"지정해제")-SUMIFS('전국 민방위 비상급수시설 현황'!$J$11:$J$100,'전국 민방위 비상급수시설 현황'!$B$11:$B$100,"경기",'전국 민방위 비상급수시설 현황'!$F$11:$F$100,"음용수",'전국 민방위 비상급수시설 현황'!$O$11:$O$100,"폐공")</f>
        <v>0</v>
      </c>
      <c r="H17" s="23" t="e">
        <f t="shared" si="11"/>
        <v>#DIV/0!</v>
      </c>
      <c r="I17" s="22">
        <f t="shared" si="12"/>
        <v>0</v>
      </c>
      <c r="J17" s="22">
        <f>SUMIFS('전국 민방위 비상급수시설 현황'!$J$11:$J$100,'전국 민방위 비상급수시설 현황'!$B$11:$B$100,"경기",'전국 민방위 비상급수시설 현황'!$F$11:$F$100,"생활용수")-SUMIFS('전국 민방위 비상급수시설 현황'!$J$11:$J$100,'전국 민방위 비상급수시설 현황'!$B$11:$B$100,"경기",'전국 민방위 비상급수시설 현황'!$F$11:$F$100,"생활용수",'전국 민방위 비상급수시설 현황'!$O$11:$O$100,"지정해제")-SUMIFS('전국 민방위 비상급수시설 현황'!$J$11:$J$100,'전국 민방위 비상급수시설 현황'!$B$11:$B$100,"경기",'전국 민방위 비상급수시설 현황'!$F$11:$F$100,"생활용수",'전국 민방위 비상급수시설 현황'!$O$11:$O$100,"폐공")</f>
        <v>0</v>
      </c>
      <c r="K17" s="23" t="e">
        <f t="shared" si="13"/>
        <v>#DIV/0!</v>
      </c>
      <c r="L17" s="22">
        <f t="shared" si="5"/>
        <v>0</v>
      </c>
      <c r="M17" s="22">
        <f t="shared" si="6"/>
        <v>0</v>
      </c>
      <c r="N17" s="21">
        <f>COUNTIFS('전국 민방위 비상급수시설 현황'!$B$11:$B$100,"경기",'전국 민방위 비상급수시설 현황'!$E$11:$E$100,"정부지원")-COUNTIFS('전국 민방위 비상급수시설 현황'!$B$11:$B$100,"경기",'전국 민방위 비상급수시설 현황'!$E$11:$E$100,"정부지원",'전국 민방위 비상급수시설 현황'!$O$11:$O$100,"지정해제")
 - COUNTIFS('전국 민방위 비상급수시설 현황'!$B$11:$B$100,"경기",'전국 민방위 비상급수시설 현황'!$E$11:$E$100,"정부지원",'전국 민방위 비상급수시설 현황'!$O$11:$O$100,"폐공")</f>
        <v>0</v>
      </c>
      <c r="O17" s="21">
        <f>SUMIFS('전국 민방위 비상급수시설 현황'!$J$11:$J$100,'전국 민방위 비상급수시설 현황'!$B$11:$B$100,"경기",'전국 민방위 비상급수시설 현황'!$E$11:$E$100,"정부지원")-SUMIFS('전국 민방위 비상급수시설 현황'!$J$11:$J$100,'전국 민방위 비상급수시설 현황'!$B$11:$B$100,"경기",'전국 민방위 비상급수시설 현황'!$E$11:$E$100,"정부지원",'전국 민방위 비상급수시설 현황'!$O$11:$O$100,"지정해제")
-SUMIFS('전국 민방위 비상급수시설 현황'!$J$11:$J$100,'전국 민방위 비상급수시설 현황'!$B$11:$B$100,"경기",'전국 민방위 비상급수시설 현황'!$E$11:$E$100,"정부지원",'전국 민방위 비상급수시설 현황'!$O$11:$O$100,"폐공")</f>
        <v>0</v>
      </c>
      <c r="P17" s="21">
        <f>COUNTIFS('전국 민방위 비상급수시설 현황'!$B$11:$B$100,"경기",'전국 민방위 비상급수시설 현황'!$E$11:$E$100,"지자체")-COUNTIFS('전국 민방위 비상급수시설 현황'!$B$11:$B$100,"경기",'전국 민방위 비상급수시설 현황'!$E$11:$E$100,"지자체",'전국 민방위 비상급수시설 현황'!$O$11:$O$100,"지정해제")
 - COUNTIFS('전국 민방위 비상급수시설 현황'!$B$11:$B$100,"경기",'전국 민방위 비상급수시설 현황'!$E$11:$E$100,"지자체",'전국 민방위 비상급수시설 현황'!$O$11:$O$100,"폐공")</f>
        <v>0</v>
      </c>
      <c r="Q17" s="21">
        <f>SUMIFS('전국 민방위 비상급수시설 현황'!$J$11:$J$100,'전국 민방위 비상급수시설 현황'!$B$11:$B$100,"경기",'전국 민방위 비상급수시설 현황'!$E$11:$E$100,"지자체")-SUMIFS('전국 민방위 비상급수시설 현황'!$J$11:$J$100,'전국 민방위 비상급수시설 현황'!$B$11:$B$100,"경기",'전국 민방위 비상급수시설 현황'!$E$11:$E$100,"지자체",'전국 민방위 비상급수시설 현황'!$O$11:$O$100,"지정해제")
-SUMIFS('전국 민방위 비상급수시설 현황'!$J$11:$J$100,'전국 민방위 비상급수시설 현황'!$B$11:$B$100,"경기",'전국 민방위 비상급수시설 현황'!$E$11:$E$100,"지자체",'전국 민방위 비상급수시설 현황'!$O$11:$O$100,"폐공")</f>
        <v>0</v>
      </c>
      <c r="R17" s="21">
        <f>COUNTIFS('전국 민방위 비상급수시설 현황'!$B$11:$B$100,"경기",'전국 민방위 비상급수시설 현황'!$E$11:$E$100,"공공용")-COUNTIFS('전국 민방위 비상급수시설 현황'!$B$11:$B$100,"경기",'전국 민방위 비상급수시설 현황'!$E$11:$E$100,"공공용",'전국 민방위 비상급수시설 현황'!$O$11:$O$100,"지정해제")
 - COUNTIFS('전국 민방위 비상급수시설 현황'!$B$11:$B$100,"경기",'전국 민방위 비상급수시설 현황'!$E$11:$E$100,"공공용",'전국 민방위 비상급수시설 현황'!$O$11:$O$100,"폐공")</f>
        <v>0</v>
      </c>
      <c r="S17" s="21">
        <f>SUMIFS('전국 민방위 비상급수시설 현황'!$J$11:$J$100,'전국 민방위 비상급수시설 현황'!$B$11:$B$100,"경기",'전국 민방위 비상급수시설 현황'!$E$11:$E$100,"공공용")-SUMIFS('전국 민방위 비상급수시설 현황'!$J$11:$J$100,'전국 민방위 비상급수시설 현황'!$B$11:$B$100,"경기",'전국 민방위 비상급수시설 현황'!$E$11:$E$100,"공공용",'전국 민방위 비상급수시설 현황'!$O$11:$O$100,"지정해제")
-SUMIFS('전국 민방위 비상급수시설 현황'!$J$11:$J$100,'전국 민방위 비상급수시설 현황'!$B$11:$B$100,"경기",'전국 민방위 비상급수시설 현황'!$E$11:$E$100,"공공용",'전국 민방위 비상급수시설 현황'!$O$11:$O$100,"폐공")</f>
        <v>0</v>
      </c>
    </row>
    <row r="18" spans="1:19" ht="26.25" customHeight="1">
      <c r="A18" s="21" t="s">
        <v>42</v>
      </c>
      <c r="B18" s="24"/>
      <c r="C18" s="22">
        <f t="shared" si="7"/>
        <v>0</v>
      </c>
      <c r="D18" s="22">
        <f t="shared" si="8"/>
        <v>0</v>
      </c>
      <c r="E18" s="23" t="e">
        <f t="shared" si="9"/>
        <v>#DIV/0!</v>
      </c>
      <c r="F18" s="22">
        <f t="shared" si="10"/>
        <v>0</v>
      </c>
      <c r="G18" s="22">
        <f>SUMIFS('전국 민방위 비상급수시설 현황'!$J$11:$J$100,'전국 민방위 비상급수시설 현황'!$B$11:$B$100,"강원",'전국 민방위 비상급수시설 현황'!$F$11:$F$100,"음용수")-SUMIFS('전국 민방위 비상급수시설 현황'!$J$11:$J$100,'전국 민방위 비상급수시설 현황'!$B$11:$B$100,"강원",'전국 민방위 비상급수시설 현황'!$F$11:$F$100,"음용수",'전국 민방위 비상급수시설 현황'!$O$11:$O$100,"지정해제")-SUMIFS('전국 민방위 비상급수시설 현황'!$J$11:$J$100,'전국 민방위 비상급수시설 현황'!$B$11:$B$100,"강원",'전국 민방위 비상급수시설 현황'!$F$11:$F$100,"음용수",'전국 민방위 비상급수시설 현황'!$O$11:$O$100,"폐공")</f>
        <v>0</v>
      </c>
      <c r="H18" s="23" t="e">
        <f t="shared" si="11"/>
        <v>#DIV/0!</v>
      </c>
      <c r="I18" s="22">
        <f t="shared" si="12"/>
        <v>0</v>
      </c>
      <c r="J18" s="22">
        <f>SUMIFS('전국 민방위 비상급수시설 현황'!$J$11:$J$100,'전국 민방위 비상급수시설 현황'!$B$11:$B$100,"강원",'전국 민방위 비상급수시설 현황'!$F$11:$F$100,"생활용수")-SUMIFS('전국 민방위 비상급수시설 현황'!$J$11:$J$100,'전국 민방위 비상급수시설 현황'!$B$11:$B$100,"강원",'전국 민방위 비상급수시설 현황'!$F$11:$F$100,"생활용수",'전국 민방위 비상급수시설 현황'!$O$11:$O$100,"지정해제")-SUMIFS('전국 민방위 비상급수시설 현황'!$J$11:$J$100,'전국 민방위 비상급수시설 현황'!$B$11:$B$100,"강원",'전국 민방위 비상급수시설 현황'!$F$11:$F$100,"생활용수",'전국 민방위 비상급수시설 현황'!$O$11:$O$100,"폐공")</f>
        <v>0</v>
      </c>
      <c r="K18" s="23" t="e">
        <f t="shared" si="13"/>
        <v>#DIV/0!</v>
      </c>
      <c r="L18" s="22">
        <f t="shared" si="5"/>
        <v>0</v>
      </c>
      <c r="M18" s="22">
        <f t="shared" si="6"/>
        <v>0</v>
      </c>
      <c r="N18" s="21">
        <f>COUNTIFS('전국 민방위 비상급수시설 현황'!$B$11:$B$100,"강원",'전국 민방위 비상급수시설 현황'!$E$11:$E$100,"정부지원")-COUNTIFS('전국 민방위 비상급수시설 현황'!$B$11:$B$100,"강원",'전국 민방위 비상급수시설 현황'!$E$11:$E$100,"정부지원",'전국 민방위 비상급수시설 현황'!$O$11:$O$100,"지정해제")
 - COUNTIFS('전국 민방위 비상급수시설 현황'!$B$11:$B$100,"강원",'전국 민방위 비상급수시설 현황'!$E$11:$E$100,"정부지원",'전국 민방위 비상급수시설 현황'!$O$11:$O$100,"폐공")</f>
        <v>0</v>
      </c>
      <c r="O18" s="21">
        <f>SUMIFS('전국 민방위 비상급수시설 현황'!$J$11:$J$100,'전국 민방위 비상급수시설 현황'!$B$11:$B$100,"강원",'전국 민방위 비상급수시설 현황'!$E$11:$E$100,"정부지원")-SUMIFS('전국 민방위 비상급수시설 현황'!$J$11:$J$100,'전국 민방위 비상급수시설 현황'!$B$11:$B$100,"강원",'전국 민방위 비상급수시설 현황'!$E$11:$E$100,"정부지원",'전국 민방위 비상급수시설 현황'!$O$11:$O$100,"지정해제")
-SUMIFS('전국 민방위 비상급수시설 현황'!$J$11:$J$100,'전국 민방위 비상급수시설 현황'!$B$11:$B$100,"강원",'전국 민방위 비상급수시설 현황'!$E$11:$E$100,"정부지원",'전국 민방위 비상급수시설 현황'!$O$11:$O$100,"폐공")</f>
        <v>0</v>
      </c>
      <c r="P18" s="21">
        <f>COUNTIFS('전국 민방위 비상급수시설 현황'!$B$11:$B$100,"강원",'전국 민방위 비상급수시설 현황'!$E$11:$E$100,"지자체")-COUNTIFS('전국 민방위 비상급수시설 현황'!$B$11:$B$100,"강원",'전국 민방위 비상급수시설 현황'!$E$11:$E$100,"지자체",'전국 민방위 비상급수시설 현황'!$O$11:$O$100,"지정해제")
 - COUNTIFS('전국 민방위 비상급수시설 현황'!$B$11:$B$100,"강원",'전국 민방위 비상급수시설 현황'!$E$11:$E$100,"지자체",'전국 민방위 비상급수시설 현황'!$O$11:$O$100,"폐공")</f>
        <v>0</v>
      </c>
      <c r="Q18" s="21">
        <f>SUMIFS('전국 민방위 비상급수시설 현황'!$J$11:$J$100,'전국 민방위 비상급수시설 현황'!$B$11:$B$100,"강원",'전국 민방위 비상급수시설 현황'!$E$11:$E$100,"지자체")-SUMIFS('전국 민방위 비상급수시설 현황'!$J$11:$J$100,'전국 민방위 비상급수시설 현황'!$B$11:$B$100,"강원",'전국 민방위 비상급수시설 현황'!$E$11:$E$100,"지자체",'전국 민방위 비상급수시설 현황'!$O$11:$O$100,"지정해제")
-SUMIFS('전국 민방위 비상급수시설 현황'!$J$11:$J$100,'전국 민방위 비상급수시설 현황'!$B$11:$B$100,"강원",'전국 민방위 비상급수시설 현황'!$E$11:$E$100,"지자체",'전국 민방위 비상급수시설 현황'!$O$11:$O$100,"폐공")</f>
        <v>0</v>
      </c>
      <c r="R18" s="21">
        <f>COUNTIFS('전국 민방위 비상급수시설 현황'!$B$11:$B$100,"강원",'전국 민방위 비상급수시설 현황'!$E$11:$E$100,"공공용")-COUNTIFS('전국 민방위 비상급수시설 현황'!$B$11:$B$100,"강원",'전국 민방위 비상급수시설 현황'!$E$11:$E$100,"공공용",'전국 민방위 비상급수시설 현황'!$O$11:$O$100,"지정해제")
 - COUNTIFS('전국 민방위 비상급수시설 현황'!$B$11:$B$100,"강원",'전국 민방위 비상급수시설 현황'!$E$11:$E$100,"공공용",'전국 민방위 비상급수시설 현황'!$O$11:$O$100,"폐공")</f>
        <v>0</v>
      </c>
      <c r="S18" s="21">
        <f>SUMIFS('전국 민방위 비상급수시설 현황'!$J$11:$J$100,'전국 민방위 비상급수시설 현황'!$B$11:$B$100,"강원",'전국 민방위 비상급수시설 현황'!$E$11:$E$100,"공공용")-SUMIFS('전국 민방위 비상급수시설 현황'!$J$11:$J$100,'전국 민방위 비상급수시설 현황'!$B$11:$B$100,"강원",'전국 민방위 비상급수시설 현황'!$E$11:$E$100,"공공용",'전국 민방위 비상급수시설 현황'!$O$11:$O$100,"지정해제")
-SUMIFS('전국 민방위 비상급수시설 현황'!$J$11:$J$100,'전국 민방위 비상급수시설 현황'!$B$11:$B$100,"강원",'전국 민방위 비상급수시설 현황'!$E$11:$E$100,"공공용",'전국 민방위 비상급수시설 현황'!$O$11:$O$100,"폐공")</f>
        <v>0</v>
      </c>
    </row>
    <row r="19" spans="1:19" ht="26.25" customHeight="1">
      <c r="A19" s="21" t="s">
        <v>43</v>
      </c>
      <c r="B19" s="24"/>
      <c r="C19" s="22">
        <f t="shared" si="7"/>
        <v>0</v>
      </c>
      <c r="D19" s="22">
        <f t="shared" si="8"/>
        <v>0</v>
      </c>
      <c r="E19" s="23" t="e">
        <f t="shared" si="9"/>
        <v>#DIV/0!</v>
      </c>
      <c r="F19" s="22">
        <f t="shared" si="10"/>
        <v>0</v>
      </c>
      <c r="G19" s="22">
        <f>SUMIFS('전국 민방위 비상급수시설 현황'!$J$11:$J$100,'전국 민방위 비상급수시설 현황'!$B$11:$B$100,"충북",'전국 민방위 비상급수시설 현황'!$F$11:$F$100,"음용수")-SUMIFS('전국 민방위 비상급수시설 현황'!$J$11:$J$100,'전국 민방위 비상급수시설 현황'!$B$11:$B$100,"충북",'전국 민방위 비상급수시설 현황'!$F$11:$F$100,"음용수",'전국 민방위 비상급수시설 현황'!$O$11:$O$100,"지정해제")-SUMIFS('전국 민방위 비상급수시설 현황'!$J$11:$J$100,'전국 민방위 비상급수시설 현황'!$B$11:$B$100,"충북",'전국 민방위 비상급수시설 현황'!$F$11:$F$100,"음용수",'전국 민방위 비상급수시설 현황'!$O$11:$O$100,"폐공")</f>
        <v>0</v>
      </c>
      <c r="H19" s="23" t="e">
        <f t="shared" si="11"/>
        <v>#DIV/0!</v>
      </c>
      <c r="I19" s="22">
        <f t="shared" si="12"/>
        <v>0</v>
      </c>
      <c r="J19" s="22">
        <f>SUMIFS('전국 민방위 비상급수시설 현황'!$J$11:$J$100,'전국 민방위 비상급수시설 현황'!$B$11:$B$100,"충북",'전국 민방위 비상급수시설 현황'!$F$11:$F$100,"생활용수")-SUMIFS('전국 민방위 비상급수시설 현황'!$J$11:$J$100,'전국 민방위 비상급수시설 현황'!$B$11:$B$100,"충북",'전국 민방위 비상급수시설 현황'!$F$11:$F$100,"생활용수",'전국 민방위 비상급수시설 현황'!$O$11:$O$100,"지정해제")-SUMIFS('전국 민방위 비상급수시설 현황'!$J$11:$J$100,'전국 민방위 비상급수시설 현황'!$B$11:$B$100,"충북",'전국 민방위 비상급수시설 현황'!$F$11:$F$100,"생활용수",'전국 민방위 비상급수시설 현황'!$O$11:$O$100,"폐공")</f>
        <v>0</v>
      </c>
      <c r="K19" s="23" t="e">
        <f t="shared" si="13"/>
        <v>#DIV/0!</v>
      </c>
      <c r="L19" s="22">
        <f t="shared" si="5"/>
        <v>0</v>
      </c>
      <c r="M19" s="22">
        <f t="shared" si="6"/>
        <v>0</v>
      </c>
      <c r="N19" s="21">
        <f>COUNTIFS('전국 민방위 비상급수시설 현황'!$B$11:$B$100,"충북",'전국 민방위 비상급수시설 현황'!$E$11:$E$100,"정부지원")-COUNTIFS('전국 민방위 비상급수시설 현황'!$B$11:$B$100,"충북",'전국 민방위 비상급수시설 현황'!$E$11:$E$100,"정부지원",'전국 민방위 비상급수시설 현황'!$O$11:$O$100,"지정해제")
 - COUNTIFS('전국 민방위 비상급수시설 현황'!$B$11:$B$100,"충북",'전국 민방위 비상급수시설 현황'!$E$11:$E$100,"정부지원",'전국 민방위 비상급수시설 현황'!$O$11:$O$100,"폐공")</f>
        <v>0</v>
      </c>
      <c r="O19" s="21">
        <f>SUMIFS('전국 민방위 비상급수시설 현황'!$J$11:$J$100,'전국 민방위 비상급수시설 현황'!$B$11:$B$100,"충북",'전국 민방위 비상급수시설 현황'!$E$11:$E$100,"정부지원")-SUMIFS('전국 민방위 비상급수시설 현황'!$J$11:$J$100,'전국 민방위 비상급수시설 현황'!$B$11:$B$100,"충북",'전국 민방위 비상급수시설 현황'!$E$11:$E$100,"정부지원",'전국 민방위 비상급수시설 현황'!$O$11:$O$100,"지정해제")
-SUMIFS('전국 민방위 비상급수시설 현황'!$J$11:$J$100,'전국 민방위 비상급수시설 현황'!$B$11:$B$100,"충북",'전국 민방위 비상급수시설 현황'!$E$11:$E$100,"정부지원",'전국 민방위 비상급수시설 현황'!$O$11:$O$100,"폐공")</f>
        <v>0</v>
      </c>
      <c r="P19" s="21">
        <f>COUNTIFS('전국 민방위 비상급수시설 현황'!$B$11:$B$100,"충북",'전국 민방위 비상급수시설 현황'!$E$11:$E$100,"지자체")-COUNTIFS('전국 민방위 비상급수시설 현황'!$B$11:$B$100,"충북",'전국 민방위 비상급수시설 현황'!$E$11:$E$100,"지자체",'전국 민방위 비상급수시설 현황'!$O$11:$O$100,"지정해제")
 - COUNTIFS('전국 민방위 비상급수시설 현황'!$B$11:$B$100,"충북",'전국 민방위 비상급수시설 현황'!$E$11:$E$100,"지자체",'전국 민방위 비상급수시설 현황'!$O$11:$O$100,"폐공")</f>
        <v>0</v>
      </c>
      <c r="Q19" s="21">
        <f>SUMIFS('전국 민방위 비상급수시설 현황'!$J$11:$J$100,'전국 민방위 비상급수시설 현황'!$B$11:$B$100,"충북",'전국 민방위 비상급수시설 현황'!$E$11:$E$100,"지자체")-SUMIFS('전국 민방위 비상급수시설 현황'!$J$11:$J$100,'전국 민방위 비상급수시설 현황'!$B$11:$B$100,"충북",'전국 민방위 비상급수시설 현황'!$E$11:$E$100,"지자체",'전국 민방위 비상급수시설 현황'!$O$11:$O$100,"지정해제")
-SUMIFS('전국 민방위 비상급수시설 현황'!$J$11:$J$100,'전국 민방위 비상급수시설 현황'!$B$11:$B$100,"충북",'전국 민방위 비상급수시설 현황'!$E$11:$E$100,"지자체",'전국 민방위 비상급수시설 현황'!$O$11:$O$100,"폐공")</f>
        <v>0</v>
      </c>
      <c r="R19" s="21">
        <f>COUNTIFS('전국 민방위 비상급수시설 현황'!$B$11:$B$100,"충북",'전국 민방위 비상급수시설 현황'!$E$11:$E$100,"공공용")-COUNTIFS('전국 민방위 비상급수시설 현황'!$B$11:$B$100,"충북",'전국 민방위 비상급수시설 현황'!$E$11:$E$100,"공공용",'전국 민방위 비상급수시설 현황'!$O$11:$O$100,"지정해제")
 - COUNTIFS('전국 민방위 비상급수시설 현황'!$B$11:$B$100,"충북",'전국 민방위 비상급수시설 현황'!$E$11:$E$100,"공공용",'전국 민방위 비상급수시설 현황'!$O$11:$O$100,"폐공")</f>
        <v>0</v>
      </c>
      <c r="S19" s="21">
        <f>SUMIFS('전국 민방위 비상급수시설 현황'!$J$11:$J$100,'전국 민방위 비상급수시설 현황'!$B$11:$B$100,"충북",'전국 민방위 비상급수시설 현황'!$E$11:$E$100,"공공용")-SUMIFS('전국 민방위 비상급수시설 현황'!$J$11:$J$100,'전국 민방위 비상급수시설 현황'!$B$11:$B$100,"충북",'전국 민방위 비상급수시설 현황'!$E$11:$E$100,"공공용",'전국 민방위 비상급수시설 현황'!$O$11:$O$100,"지정해제")
-SUMIFS('전국 민방위 비상급수시설 현황'!$J$11:$J$100,'전국 민방위 비상급수시설 현황'!$B$11:$B$100,"충북",'전국 민방위 비상급수시설 현황'!$E$11:$E$100,"공공용",'전국 민방위 비상급수시설 현황'!$O$11:$O$100,"폐공")</f>
        <v>0</v>
      </c>
    </row>
    <row r="20" spans="1:19" ht="26.25" customHeight="1">
      <c r="A20" s="21" t="s">
        <v>44</v>
      </c>
      <c r="B20" s="24"/>
      <c r="C20" s="22">
        <f t="shared" si="7"/>
        <v>0</v>
      </c>
      <c r="D20" s="22">
        <f t="shared" si="8"/>
        <v>0</v>
      </c>
      <c r="E20" s="23" t="e">
        <f t="shared" si="9"/>
        <v>#DIV/0!</v>
      </c>
      <c r="F20" s="22">
        <f t="shared" si="10"/>
        <v>0</v>
      </c>
      <c r="G20" s="22">
        <f>SUMIFS('전국 민방위 비상급수시설 현황'!$J$11:$J$100,'전국 민방위 비상급수시설 현황'!$B$11:$B$100,"충남",'전국 민방위 비상급수시설 현황'!$F$11:$F$100,"음용수")-SUMIFS('전국 민방위 비상급수시설 현황'!$J$11:$J$100,'전국 민방위 비상급수시설 현황'!$B$11:$B$100,"충남",'전국 민방위 비상급수시설 현황'!$F$11:$F$100,"음용수",'전국 민방위 비상급수시설 현황'!$O$11:$O$100,"지정해제")-SUMIFS('전국 민방위 비상급수시설 현황'!$J$11:$J$100,'전국 민방위 비상급수시설 현황'!$B$11:$B$100,"충남",'전국 민방위 비상급수시설 현황'!$F$11:$F$100,"음용수",'전국 민방위 비상급수시설 현황'!$O$11:$O$100,"폐공")</f>
        <v>0</v>
      </c>
      <c r="H20" s="23" t="e">
        <f t="shared" si="11"/>
        <v>#DIV/0!</v>
      </c>
      <c r="I20" s="22">
        <f t="shared" si="12"/>
        <v>0</v>
      </c>
      <c r="J20" s="22">
        <f>SUMIFS('전국 민방위 비상급수시설 현황'!$J$11:$J$100,'전국 민방위 비상급수시설 현황'!$B$11:$B$100,"충남",'전국 민방위 비상급수시설 현황'!$F$11:$F$100,"생활용수")-SUMIFS('전국 민방위 비상급수시설 현황'!$J$11:$J$100,'전국 민방위 비상급수시설 현황'!$B$11:$B$100,"충남",'전국 민방위 비상급수시설 현황'!$F$11:$F$100,"생활용수",'전국 민방위 비상급수시설 현황'!$O$11:$O$100,"지정해제")-SUMIFS('전국 민방위 비상급수시설 현황'!$J$11:$J$100,'전국 민방위 비상급수시설 현황'!$B$11:$B$100,"충남",'전국 민방위 비상급수시설 현황'!$F$11:$F$100,"생활용수",'전국 민방위 비상급수시설 현황'!$O$11:$O$100,"폐공")</f>
        <v>0</v>
      </c>
      <c r="K20" s="23" t="e">
        <f t="shared" si="13"/>
        <v>#DIV/0!</v>
      </c>
      <c r="L20" s="22">
        <f t="shared" si="5"/>
        <v>0</v>
      </c>
      <c r="M20" s="22">
        <f t="shared" si="6"/>
        <v>0</v>
      </c>
      <c r="N20" s="21">
        <f>COUNTIFS('전국 민방위 비상급수시설 현황'!$B$11:$B$100,"충남",'전국 민방위 비상급수시설 현황'!$E$11:$E$100,"정부지원")-COUNTIFS('전국 민방위 비상급수시설 현황'!$B$11:$B$100,"충남",'전국 민방위 비상급수시설 현황'!$E$11:$E$100,"정부지원",'전국 민방위 비상급수시설 현황'!$O$11:$O$100,"지정해제")
 - COUNTIFS('전국 민방위 비상급수시설 현황'!$B$11:$B$100,"충남",'전국 민방위 비상급수시설 현황'!$E$11:$E$100,"정부지원",'전국 민방위 비상급수시설 현황'!$O$11:$O$100,"폐공")</f>
        <v>0</v>
      </c>
      <c r="O20" s="21">
        <f>SUMIFS('전국 민방위 비상급수시설 현황'!$J$11:$J$100,'전국 민방위 비상급수시설 현황'!$B$11:$B$100,"충남",'전국 민방위 비상급수시설 현황'!$E$11:$E$100,"정부지원")-SUMIFS('전국 민방위 비상급수시설 현황'!$J$11:$J$100,'전국 민방위 비상급수시설 현황'!$B$11:$B$100,"충남",'전국 민방위 비상급수시설 현황'!$E$11:$E$100,"정부지원",'전국 민방위 비상급수시설 현황'!$O$11:$O$100,"지정해제")
-SUMIFS('전국 민방위 비상급수시설 현황'!$J$11:$J$100,'전국 민방위 비상급수시설 현황'!$B$11:$B$100,"충남",'전국 민방위 비상급수시설 현황'!$E$11:$E$100,"정부지원",'전국 민방위 비상급수시설 현황'!$O$11:$O$100,"폐공")</f>
        <v>0</v>
      </c>
      <c r="P20" s="21">
        <f>COUNTIFS('전국 민방위 비상급수시설 현황'!$B$11:$B$100,"충남",'전국 민방위 비상급수시설 현황'!$E$11:$E$100,"지자체")-COUNTIFS('전국 민방위 비상급수시설 현황'!$B$11:$B$100,"충남",'전국 민방위 비상급수시설 현황'!$E$11:$E$100,"지자체",'전국 민방위 비상급수시설 현황'!$O$11:$O$100,"지정해제")
 - COUNTIFS('전국 민방위 비상급수시설 현황'!$B$11:$B$100,"충남",'전국 민방위 비상급수시설 현황'!$E$11:$E$100,"지자체",'전국 민방위 비상급수시설 현황'!$O$11:$O$100,"폐공")</f>
        <v>0</v>
      </c>
      <c r="Q20" s="21">
        <f>SUMIFS('전국 민방위 비상급수시설 현황'!$J$11:$J$100,'전국 민방위 비상급수시설 현황'!$B$11:$B$100,"충남",'전국 민방위 비상급수시설 현황'!$E$11:$E$100,"지자체")-SUMIFS('전국 민방위 비상급수시설 현황'!$J$11:$J$100,'전국 민방위 비상급수시설 현황'!$B$11:$B$100,"충남",'전국 민방위 비상급수시설 현황'!$E$11:$E$100,"지자체",'전국 민방위 비상급수시설 현황'!$O$11:$O$100,"지정해제")
-SUMIFS('전국 민방위 비상급수시설 현황'!$J$11:$J$100,'전국 민방위 비상급수시설 현황'!$B$11:$B$100,"충남",'전국 민방위 비상급수시설 현황'!$E$11:$E$100,"지자체",'전국 민방위 비상급수시설 현황'!$O$11:$O$100,"폐공")</f>
        <v>0</v>
      </c>
      <c r="R20" s="21">
        <f>COUNTIFS('전국 민방위 비상급수시설 현황'!$B$11:$B$100,"충남",'전국 민방위 비상급수시설 현황'!$E$11:$E$100,"공공용")-COUNTIFS('전국 민방위 비상급수시설 현황'!$B$11:$B$100,"충남",'전국 민방위 비상급수시설 현황'!$E$11:$E$100,"공공용",'전국 민방위 비상급수시설 현황'!$O$11:$O$100,"지정해제")
 - COUNTIFS('전국 민방위 비상급수시설 현황'!$B$11:$B$100,"충남",'전국 민방위 비상급수시설 현황'!$E$11:$E$100,"공공용",'전국 민방위 비상급수시설 현황'!$O$11:$O$100,"폐공")</f>
        <v>0</v>
      </c>
      <c r="S20" s="21">
        <f>SUMIFS('전국 민방위 비상급수시설 현황'!$J$11:$J$100,'전국 민방위 비상급수시설 현황'!$B$11:$B$100,"충남",'전국 민방위 비상급수시설 현황'!$E$11:$E$100,"공공용")-SUMIFS('전국 민방위 비상급수시설 현황'!$J$11:$J$100,'전국 민방위 비상급수시설 현황'!$B$11:$B$100,"충남",'전국 민방위 비상급수시설 현황'!$E$11:$E$100,"공공용",'전국 민방위 비상급수시설 현황'!$O$11:$O$100,"지정해제")
-SUMIFS('전국 민방위 비상급수시설 현황'!$J$11:$J$100,'전국 민방위 비상급수시설 현황'!$B$11:$B$100,"충남",'전국 민방위 비상급수시설 현황'!$E$11:$E$100,"공공용",'전국 민방위 비상급수시설 현황'!$O$11:$O$100,"폐공")</f>
        <v>0</v>
      </c>
    </row>
    <row r="21" spans="1:19" ht="26.25" customHeight="1">
      <c r="A21" s="21" t="s">
        <v>45</v>
      </c>
      <c r="B21" s="24"/>
      <c r="C21" s="22">
        <f t="shared" si="7"/>
        <v>0</v>
      </c>
      <c r="D21" s="22">
        <f t="shared" si="8"/>
        <v>0</v>
      </c>
      <c r="E21" s="23" t="e">
        <f t="shared" si="9"/>
        <v>#DIV/0!</v>
      </c>
      <c r="F21" s="22">
        <f t="shared" si="10"/>
        <v>0</v>
      </c>
      <c r="G21" s="22">
        <f>SUMIFS('전국 민방위 비상급수시설 현황'!$J$11:$J$100,'전국 민방위 비상급수시설 현황'!$B$11:$B$100,"전북",'전국 민방위 비상급수시설 현황'!$F$11:$F$100,"음용수")-SUMIFS('전국 민방위 비상급수시설 현황'!$J$11:$J$100,'전국 민방위 비상급수시설 현황'!$B$11:$B$100,"전북",'전국 민방위 비상급수시설 현황'!$F$11:$F$100,"음용수",'전국 민방위 비상급수시설 현황'!$O$11:$O$100,"지정해제")-SUMIFS('전국 민방위 비상급수시설 현황'!$J$11:$J$100,'전국 민방위 비상급수시설 현황'!$B$11:$B$100,"전북",'전국 민방위 비상급수시설 현황'!$F$11:$F$100,"음용수",'전국 민방위 비상급수시설 현황'!$O$11:$O$100,"폐공")</f>
        <v>0</v>
      </c>
      <c r="H21" s="23" t="e">
        <f t="shared" si="11"/>
        <v>#DIV/0!</v>
      </c>
      <c r="I21" s="22">
        <f t="shared" si="12"/>
        <v>0</v>
      </c>
      <c r="J21" s="22">
        <f>SUMIFS('전국 민방위 비상급수시설 현황'!$J$11:$J$100,'전국 민방위 비상급수시설 현황'!$B$11:$B$100,"전북",'전국 민방위 비상급수시설 현황'!$F$11:$F$100,"생활용수")-SUMIFS('전국 민방위 비상급수시설 현황'!$J$11:$J$100,'전국 민방위 비상급수시설 현황'!$B$11:$B$100,"전북",'전국 민방위 비상급수시설 현황'!$F$11:$F$100,"생활용수",'전국 민방위 비상급수시설 현황'!$O$11:$O$100,"지정해제")-SUMIFS('전국 민방위 비상급수시설 현황'!$J$11:$J$100,'전국 민방위 비상급수시설 현황'!$B$11:$B$100,"전북",'전국 민방위 비상급수시설 현황'!$F$11:$F$100,"생활용수",'전국 민방위 비상급수시설 현황'!$O$11:$O$100,"폐공")</f>
        <v>0</v>
      </c>
      <c r="K21" s="23" t="e">
        <f t="shared" si="13"/>
        <v>#DIV/0!</v>
      </c>
      <c r="L21" s="22">
        <f t="shared" si="5"/>
        <v>0</v>
      </c>
      <c r="M21" s="22">
        <f t="shared" si="6"/>
        <v>0</v>
      </c>
      <c r="N21" s="21">
        <f>COUNTIFS('전국 민방위 비상급수시설 현황'!$B$11:$B$100,"전북",'전국 민방위 비상급수시설 현황'!$E$11:$E$100,"정부지원")-COUNTIFS('전국 민방위 비상급수시설 현황'!$B$11:$B$100,"전북",'전국 민방위 비상급수시설 현황'!$E$11:$E$100,"정부지원",'전국 민방위 비상급수시설 현황'!$O$11:$O$100,"지정해제")
 - COUNTIFS('전국 민방위 비상급수시설 현황'!$B$11:$B$100,"전북",'전국 민방위 비상급수시설 현황'!$E$11:$E$100,"정부지원",'전국 민방위 비상급수시설 현황'!$O$11:$O$100,"폐공")</f>
        <v>0</v>
      </c>
      <c r="O21" s="21">
        <f>SUMIFS('전국 민방위 비상급수시설 현황'!$J$11:$J$100,'전국 민방위 비상급수시설 현황'!$B$11:$B$100,"전북",'전국 민방위 비상급수시설 현황'!$E$11:$E$100,"정부지원")-SUMIFS('전국 민방위 비상급수시설 현황'!$J$11:$J$100,'전국 민방위 비상급수시설 현황'!$B$11:$B$100,"전북",'전국 민방위 비상급수시설 현황'!$E$11:$E$100,"정부지원",'전국 민방위 비상급수시설 현황'!$O$11:$O$100,"지정해제")
-SUMIFS('전국 민방위 비상급수시설 현황'!$J$11:$J$100,'전국 민방위 비상급수시설 현황'!$B$11:$B$100,"전북",'전국 민방위 비상급수시설 현황'!$E$11:$E$100,"정부지원",'전국 민방위 비상급수시설 현황'!$O$11:$O$100,"폐공")</f>
        <v>0</v>
      </c>
      <c r="P21" s="21">
        <f>COUNTIFS('전국 민방위 비상급수시설 현황'!$B$11:$B$100,"전북",'전국 민방위 비상급수시설 현황'!$E$11:$E$100,"지자체")-COUNTIFS('전국 민방위 비상급수시설 현황'!$B$11:$B$100,"전북",'전국 민방위 비상급수시설 현황'!$E$11:$E$100,"지자체",'전국 민방위 비상급수시설 현황'!$O$11:$O$100,"지정해제")
 - COUNTIFS('전국 민방위 비상급수시설 현황'!$B$11:$B$100,"전북",'전국 민방위 비상급수시설 현황'!$E$11:$E$100,"지자체",'전국 민방위 비상급수시설 현황'!$O$11:$O$100,"폐공")</f>
        <v>0</v>
      </c>
      <c r="Q21" s="21">
        <f>SUMIFS('전국 민방위 비상급수시설 현황'!$J$11:$J$100,'전국 민방위 비상급수시설 현황'!$B$11:$B$100,"전북",'전국 민방위 비상급수시설 현황'!$E$11:$E$100,"지자체")-SUMIFS('전국 민방위 비상급수시설 현황'!$J$11:$J$100,'전국 민방위 비상급수시설 현황'!$B$11:$B$100,"전북",'전국 민방위 비상급수시설 현황'!$E$11:$E$100,"지자체",'전국 민방위 비상급수시설 현황'!$O$11:$O$100,"지정해제")
-SUMIFS('전국 민방위 비상급수시설 현황'!$J$11:$J$100,'전국 민방위 비상급수시설 현황'!$B$11:$B$100,"전북",'전국 민방위 비상급수시설 현황'!$E$11:$E$100,"지자체",'전국 민방위 비상급수시설 현황'!$O$11:$O$100,"폐공")</f>
        <v>0</v>
      </c>
      <c r="R21" s="21">
        <f>COUNTIFS('전국 민방위 비상급수시설 현황'!$B$11:$B$100,"전북",'전국 민방위 비상급수시설 현황'!$E$11:$E$100,"공공용")-COUNTIFS('전국 민방위 비상급수시설 현황'!$B$11:$B$100,"전북",'전국 민방위 비상급수시설 현황'!$E$11:$E$100,"공공용",'전국 민방위 비상급수시설 현황'!$O$11:$O$100,"지정해제")
 - COUNTIFS('전국 민방위 비상급수시설 현황'!$B$11:$B$100,"전북",'전국 민방위 비상급수시설 현황'!$E$11:$E$100,"공공용",'전국 민방위 비상급수시설 현황'!$O$11:$O$100,"폐공")</f>
        <v>0</v>
      </c>
      <c r="S21" s="21">
        <f>SUMIFS('전국 민방위 비상급수시설 현황'!$J$11:$J$100,'전국 민방위 비상급수시설 현황'!$B$11:$B$100,"전북",'전국 민방위 비상급수시설 현황'!$E$11:$E$100,"공공용")-SUMIFS('전국 민방위 비상급수시설 현황'!$J$11:$J$100,'전국 민방위 비상급수시설 현황'!$B$11:$B$100,"전북",'전국 민방위 비상급수시설 현황'!$E$11:$E$100,"공공용",'전국 민방위 비상급수시설 현황'!$O$11:$O$100,"지정해제")
-SUMIFS('전국 민방위 비상급수시설 현황'!$J$11:$J$100,'전국 민방위 비상급수시설 현황'!$B$11:$B$100,"전북",'전국 민방위 비상급수시설 현황'!$E$11:$E$100,"공공용",'전국 민방위 비상급수시설 현황'!$O$11:$O$100,"폐공")</f>
        <v>0</v>
      </c>
    </row>
    <row r="22" spans="1:19" ht="26.25" customHeight="1">
      <c r="A22" s="21" t="s">
        <v>46</v>
      </c>
      <c r="B22" s="24"/>
      <c r="C22" s="22">
        <f t="shared" si="7"/>
        <v>0</v>
      </c>
      <c r="D22" s="22">
        <f t="shared" si="8"/>
        <v>0</v>
      </c>
      <c r="E22" s="23" t="e">
        <f t="shared" si="9"/>
        <v>#DIV/0!</v>
      </c>
      <c r="F22" s="22">
        <f t="shared" si="10"/>
        <v>0</v>
      </c>
      <c r="G22" s="22">
        <f>SUMIFS('전국 민방위 비상급수시설 현황'!$J$11:$J$100,'전국 민방위 비상급수시설 현황'!$B$11:$B$100,"전남",'전국 민방위 비상급수시설 현황'!$F$11:$F$100,"음용수")-SUMIFS('전국 민방위 비상급수시설 현황'!$J$11:$J$100,'전국 민방위 비상급수시설 현황'!$B$11:$B$100,"전남",'전국 민방위 비상급수시설 현황'!$F$11:$F$100,"음용수",'전국 민방위 비상급수시설 현황'!$O$11:$O$100,"지정해제")-SUMIFS('전국 민방위 비상급수시설 현황'!$J$11:$J$100,'전국 민방위 비상급수시설 현황'!$B$11:$B$100,"전남",'전국 민방위 비상급수시설 현황'!$F$11:$F$100,"음용수",'전국 민방위 비상급수시설 현황'!$O$11:$O$100,"폐공")</f>
        <v>0</v>
      </c>
      <c r="H22" s="23" t="e">
        <f t="shared" si="11"/>
        <v>#DIV/0!</v>
      </c>
      <c r="I22" s="22">
        <f t="shared" si="12"/>
        <v>0</v>
      </c>
      <c r="J22" s="22">
        <f>SUMIFS('전국 민방위 비상급수시설 현황'!$J$11:$J$100,'전국 민방위 비상급수시설 현황'!$B$11:$B$100,"전남",'전국 민방위 비상급수시설 현황'!$F$11:$F$100,"생활용수")-SUMIFS('전국 민방위 비상급수시설 현황'!$J$11:$J$100,'전국 민방위 비상급수시설 현황'!$B$11:$B$100,"전남",'전국 민방위 비상급수시설 현황'!$F$11:$F$100,"생활용수",'전국 민방위 비상급수시설 현황'!$O$11:$O$100,"지정해제")-SUMIFS('전국 민방위 비상급수시설 현황'!$J$11:$J$100,'전국 민방위 비상급수시설 현황'!$B$11:$B$100,"전남",'전국 민방위 비상급수시설 현황'!$F$11:$F$100,"생활용수",'전국 민방위 비상급수시설 현황'!$O$11:$O$100,"폐공")</f>
        <v>0</v>
      </c>
      <c r="K22" s="23" t="e">
        <f t="shared" si="13"/>
        <v>#DIV/0!</v>
      </c>
      <c r="L22" s="22">
        <f t="shared" si="5"/>
        <v>0</v>
      </c>
      <c r="M22" s="22">
        <f t="shared" si="6"/>
        <v>0</v>
      </c>
      <c r="N22" s="21">
        <f>COUNTIFS('전국 민방위 비상급수시설 현황'!$B$11:$B$100,"전남",'전국 민방위 비상급수시설 현황'!$E$11:$E$100,"정부지원")-COUNTIFS('전국 민방위 비상급수시설 현황'!$B$11:$B$100,"전남",'전국 민방위 비상급수시설 현황'!$E$11:$E$100,"정부지원",'전국 민방위 비상급수시설 현황'!$O$11:$O$100,"지정해제")
 - COUNTIFS('전국 민방위 비상급수시설 현황'!$B$11:$B$100,"전남",'전국 민방위 비상급수시설 현황'!$E$11:$E$100,"정부지원",'전국 민방위 비상급수시설 현황'!$O$11:$O$100,"폐공")</f>
        <v>0</v>
      </c>
      <c r="O22" s="21">
        <f>SUMIFS('전국 민방위 비상급수시설 현황'!$J$11:$J$100,'전국 민방위 비상급수시설 현황'!$B$11:$B$100,"전남",'전국 민방위 비상급수시설 현황'!$E$11:$E$100,"정부지원")-SUMIFS('전국 민방위 비상급수시설 현황'!$J$11:$J$100,'전국 민방위 비상급수시설 현황'!$B$11:$B$100,"전남",'전국 민방위 비상급수시설 현황'!$E$11:$E$100,"정부지원",'전국 민방위 비상급수시설 현황'!$O$11:$O$100,"지정해제")
-SUMIFS('전국 민방위 비상급수시설 현황'!$J$11:$J$100,'전국 민방위 비상급수시설 현황'!$B$11:$B$100,"전남",'전국 민방위 비상급수시설 현황'!$E$11:$E$100,"정부지원",'전국 민방위 비상급수시설 현황'!$O$11:$O$100,"폐공")</f>
        <v>0</v>
      </c>
      <c r="P22" s="21">
        <f>COUNTIFS('전국 민방위 비상급수시설 현황'!$B$11:$B$100,"전남",'전국 민방위 비상급수시설 현황'!$E$11:$E$100,"지자체")-COUNTIFS('전국 민방위 비상급수시설 현황'!$B$11:$B$100,"전남",'전국 민방위 비상급수시설 현황'!$E$11:$E$100,"지자체",'전국 민방위 비상급수시설 현황'!$O$11:$O$100,"지정해제")
 - COUNTIFS('전국 민방위 비상급수시설 현황'!$B$11:$B$100,"전남",'전국 민방위 비상급수시설 현황'!$E$11:$E$100,"지자체",'전국 민방위 비상급수시설 현황'!$O$11:$O$100,"폐공")</f>
        <v>0</v>
      </c>
      <c r="Q22" s="21">
        <f>SUMIFS('전국 민방위 비상급수시설 현황'!$J$11:$J$100,'전국 민방위 비상급수시설 현황'!$B$11:$B$100,"전남",'전국 민방위 비상급수시설 현황'!$E$11:$E$100,"지자체")-SUMIFS('전국 민방위 비상급수시설 현황'!$J$11:$J$100,'전국 민방위 비상급수시설 현황'!$B$11:$B$100,"전남",'전국 민방위 비상급수시설 현황'!$E$11:$E$100,"지자체",'전국 민방위 비상급수시설 현황'!$O$11:$O$100,"지정해제")
-SUMIFS('전국 민방위 비상급수시설 현황'!$J$11:$J$100,'전국 민방위 비상급수시설 현황'!$B$11:$B$100,"전남",'전국 민방위 비상급수시설 현황'!$E$11:$E$100,"지자체",'전국 민방위 비상급수시설 현황'!$O$11:$O$100,"폐공")</f>
        <v>0</v>
      </c>
      <c r="R22" s="21">
        <f>COUNTIFS('전국 민방위 비상급수시설 현황'!$B$11:$B$100,"전남",'전국 민방위 비상급수시설 현황'!$E$11:$E$100,"공공용")-COUNTIFS('전국 민방위 비상급수시설 현황'!$B$11:$B$100,"전남",'전국 민방위 비상급수시설 현황'!$E$11:$E$100,"공공용",'전국 민방위 비상급수시설 현황'!$O$11:$O$100,"지정해제")
 - COUNTIFS('전국 민방위 비상급수시설 현황'!$B$11:$B$100,"전남",'전국 민방위 비상급수시설 현황'!$E$11:$E$100,"공공용",'전국 민방위 비상급수시설 현황'!$O$11:$O$100,"폐공")</f>
        <v>0</v>
      </c>
      <c r="S22" s="21">
        <f>SUMIFS('전국 민방위 비상급수시설 현황'!$J$11:$J$100,'전국 민방위 비상급수시설 현황'!$B$11:$B$100,"전남",'전국 민방위 비상급수시설 현황'!$E$11:$E$100,"공공용")-SUMIFS('전국 민방위 비상급수시설 현황'!$J$11:$J$100,'전국 민방위 비상급수시설 현황'!$B$11:$B$100,"전남",'전국 민방위 비상급수시설 현황'!$E$11:$E$100,"공공용",'전국 민방위 비상급수시설 현황'!$O$11:$O$100,"지정해제")
-SUMIFS('전국 민방위 비상급수시설 현황'!$J$11:$J$100,'전국 민방위 비상급수시설 현황'!$B$11:$B$100,"전남",'전국 민방위 비상급수시설 현황'!$E$11:$E$100,"공공용",'전국 민방위 비상급수시설 현황'!$O$11:$O$100,"폐공")</f>
        <v>0</v>
      </c>
    </row>
    <row r="23" spans="1:19" ht="26.25" customHeight="1">
      <c r="A23" s="21" t="s">
        <v>47</v>
      </c>
      <c r="B23" s="24"/>
      <c r="C23" s="22">
        <f t="shared" si="7"/>
        <v>0</v>
      </c>
      <c r="D23" s="22">
        <f t="shared" si="8"/>
        <v>0</v>
      </c>
      <c r="E23" s="23" t="e">
        <f t="shared" si="9"/>
        <v>#DIV/0!</v>
      </c>
      <c r="F23" s="22">
        <f t="shared" si="10"/>
        <v>0</v>
      </c>
      <c r="G23" s="22">
        <f>SUMIFS('전국 민방위 비상급수시설 현황'!$J$11:$J$100,'전국 민방위 비상급수시설 현황'!$B$11:$B$100,"경북",'전국 민방위 비상급수시설 현황'!$F$11:$F$100,"음용수")-SUMIFS('전국 민방위 비상급수시설 현황'!$J$11:$J$100,'전국 민방위 비상급수시설 현황'!$B$11:$B$100,"경북",'전국 민방위 비상급수시설 현황'!$F$11:$F$100,"음용수",'전국 민방위 비상급수시설 현황'!$O$11:$O$100,"지정해제")-SUMIFS('전국 민방위 비상급수시설 현황'!$J$11:$J$100,'전국 민방위 비상급수시설 현황'!$B$11:$B$100,"경북",'전국 민방위 비상급수시설 현황'!$F$11:$F$100,"음용수",'전국 민방위 비상급수시설 현황'!$O$11:$O$100,"폐공")</f>
        <v>0</v>
      </c>
      <c r="H23" s="23" t="e">
        <f t="shared" si="11"/>
        <v>#DIV/0!</v>
      </c>
      <c r="I23" s="22">
        <f t="shared" si="12"/>
        <v>0</v>
      </c>
      <c r="J23" s="22">
        <f>SUMIFS('전국 민방위 비상급수시설 현황'!$J$11:$J$100,'전국 민방위 비상급수시설 현황'!$B$11:$B$100,"경북",'전국 민방위 비상급수시설 현황'!$F$11:$F$100,"생활용수")-SUMIFS('전국 민방위 비상급수시설 현황'!$J$11:$J$100,'전국 민방위 비상급수시설 현황'!$B$11:$B$100,"경북",'전국 민방위 비상급수시설 현황'!$F$11:$F$100,"생활용수",'전국 민방위 비상급수시설 현황'!$O$11:$O$100,"지정해제")-SUMIFS('전국 민방위 비상급수시설 현황'!$J$11:$J$100,'전국 민방위 비상급수시설 현황'!$B$11:$B$100,"경북",'전국 민방위 비상급수시설 현황'!$F$11:$F$100,"생활용수",'전국 민방위 비상급수시설 현황'!$O$11:$O$100,"폐공")</f>
        <v>0</v>
      </c>
      <c r="K23" s="23" t="e">
        <f t="shared" si="13"/>
        <v>#DIV/0!</v>
      </c>
      <c r="L23" s="22">
        <f t="shared" si="5"/>
        <v>0</v>
      </c>
      <c r="M23" s="22">
        <f t="shared" si="6"/>
        <v>0</v>
      </c>
      <c r="N23" s="21">
        <f>COUNTIFS('전국 민방위 비상급수시설 현황'!$B$11:$B$100,"경북",'전국 민방위 비상급수시설 현황'!$E$11:$E$100,"정부지원")-COUNTIFS('전국 민방위 비상급수시설 현황'!$B$11:$B$100,"경북",'전국 민방위 비상급수시설 현황'!$E$11:$E$100,"정부지원",'전국 민방위 비상급수시설 현황'!$O$11:$O$100,"지정해제")
 - COUNTIFS('전국 민방위 비상급수시설 현황'!$B$11:$B$100,"경북",'전국 민방위 비상급수시설 현황'!$E$11:$E$100,"정부지원",'전국 민방위 비상급수시설 현황'!$O$11:$O$100,"폐공")</f>
        <v>0</v>
      </c>
      <c r="O23" s="21">
        <f>SUMIFS('전국 민방위 비상급수시설 현황'!$J$11:$J$100,'전국 민방위 비상급수시설 현황'!$B$11:$B$100,"경북",'전국 민방위 비상급수시설 현황'!$E$11:$E$100,"정부지원")-SUMIFS('전국 민방위 비상급수시설 현황'!$J$11:$J$100,'전국 민방위 비상급수시설 현황'!$B$11:$B$100,"경북",'전국 민방위 비상급수시설 현황'!$E$11:$E$100,"정부지원",'전국 민방위 비상급수시설 현황'!$O$11:$O$100,"지정해제")
-SUMIFS('전국 민방위 비상급수시설 현황'!$J$11:$J$100,'전국 민방위 비상급수시설 현황'!$B$11:$B$100,"경북",'전국 민방위 비상급수시설 현황'!$E$11:$E$100,"정부지원",'전국 민방위 비상급수시설 현황'!$O$11:$O$100,"폐공")</f>
        <v>0</v>
      </c>
      <c r="P23" s="21">
        <f>COUNTIFS('전국 민방위 비상급수시설 현황'!$B$11:$B$100,"경북",'전국 민방위 비상급수시설 현황'!$E$11:$E$100,"지자체")-COUNTIFS('전국 민방위 비상급수시설 현황'!$B$11:$B$100,"경북",'전국 민방위 비상급수시설 현황'!$E$11:$E$100,"지자체",'전국 민방위 비상급수시설 현황'!$O$11:$O$100,"지정해제")
 - COUNTIFS('전국 민방위 비상급수시설 현황'!$B$11:$B$100,"경북",'전국 민방위 비상급수시설 현황'!$E$11:$E$100,"지자체",'전국 민방위 비상급수시설 현황'!$O$11:$O$100,"폐공")</f>
        <v>0</v>
      </c>
      <c r="Q23" s="21">
        <f>SUMIFS('전국 민방위 비상급수시설 현황'!$J$11:$J$100,'전국 민방위 비상급수시설 현황'!$B$11:$B$100,"경북",'전국 민방위 비상급수시설 현황'!$E$11:$E$100,"지자체")-SUMIFS('전국 민방위 비상급수시설 현황'!$J$11:$J$100,'전국 민방위 비상급수시설 현황'!$B$11:$B$100,"경북",'전국 민방위 비상급수시설 현황'!$E$11:$E$100,"지자체",'전국 민방위 비상급수시설 현황'!$O$11:$O$100,"지정해제")
-SUMIFS('전국 민방위 비상급수시설 현황'!$J$11:$J$100,'전국 민방위 비상급수시설 현황'!$B$11:$B$100,"경북",'전국 민방위 비상급수시설 현황'!$E$11:$E$100,"지자체",'전국 민방위 비상급수시설 현황'!$O$11:$O$100,"폐공")</f>
        <v>0</v>
      </c>
      <c r="R23" s="21">
        <f>COUNTIFS('전국 민방위 비상급수시설 현황'!$B$11:$B$100,"경북",'전국 민방위 비상급수시설 현황'!$E$11:$E$100,"공공용")-COUNTIFS('전국 민방위 비상급수시설 현황'!$B$11:$B$100,"경북",'전국 민방위 비상급수시설 현황'!$E$11:$E$100,"공공용",'전국 민방위 비상급수시설 현황'!$O$11:$O$100,"지정해제")
 - COUNTIFS('전국 민방위 비상급수시설 현황'!$B$11:$B$100,"경북",'전국 민방위 비상급수시설 현황'!$E$11:$E$100,"공공용",'전국 민방위 비상급수시설 현황'!$O$11:$O$100,"폐공")</f>
        <v>0</v>
      </c>
      <c r="S23" s="21">
        <f>SUMIFS('전국 민방위 비상급수시설 현황'!$J$11:$J$100,'전국 민방위 비상급수시설 현황'!$B$11:$B$100,"경북",'전국 민방위 비상급수시설 현황'!$E$11:$E$100,"공공용")-SUMIFS('전국 민방위 비상급수시설 현황'!$J$11:$J$100,'전국 민방위 비상급수시설 현황'!$B$11:$B$100,"경북",'전국 민방위 비상급수시설 현황'!$E$11:$E$100,"공공용",'전국 민방위 비상급수시설 현황'!$O$11:$O$100,"지정해제")
-SUMIFS('전국 민방위 비상급수시설 현황'!$J$11:$J$100,'전국 민방위 비상급수시설 현황'!$B$11:$B$100,"경북",'전국 민방위 비상급수시설 현황'!$E$11:$E$100,"공공용",'전국 민방위 비상급수시설 현황'!$O$11:$O$100,"폐공")</f>
        <v>0</v>
      </c>
    </row>
    <row r="24" spans="1:19" ht="26.25" customHeight="1">
      <c r="A24" s="21" t="s">
        <v>48</v>
      </c>
      <c r="B24" s="24"/>
      <c r="C24" s="22">
        <f t="shared" si="7"/>
        <v>0</v>
      </c>
      <c r="D24" s="22">
        <f t="shared" si="8"/>
        <v>0</v>
      </c>
      <c r="E24" s="23" t="e">
        <f t="shared" si="9"/>
        <v>#DIV/0!</v>
      </c>
      <c r="F24" s="22">
        <f t="shared" si="10"/>
        <v>0</v>
      </c>
      <c r="G24" s="22">
        <f>SUMIFS('전국 민방위 비상급수시설 현황'!$J$11:$J$100,'전국 민방위 비상급수시설 현황'!$B$11:$B$100,"경남",'전국 민방위 비상급수시설 현황'!$F$11:$F$100,"음용수")-SUMIFS('전국 민방위 비상급수시설 현황'!$J$11:$J$100,'전국 민방위 비상급수시설 현황'!$B$11:$B$100,"경남",'전국 민방위 비상급수시설 현황'!$F$11:$F$100,"음용수",'전국 민방위 비상급수시설 현황'!$O$11:$O$100,"지정해제")-SUMIFS('전국 민방위 비상급수시설 현황'!$J$11:$J$100,'전국 민방위 비상급수시설 현황'!$B$11:$B$100,"경남",'전국 민방위 비상급수시설 현황'!$F$11:$F$100,"음용수",'전국 민방위 비상급수시설 현황'!$O$11:$O$100,"폐공")</f>
        <v>0</v>
      </c>
      <c r="H24" s="23" t="e">
        <f t="shared" si="11"/>
        <v>#DIV/0!</v>
      </c>
      <c r="I24" s="22">
        <f t="shared" si="12"/>
        <v>0</v>
      </c>
      <c r="J24" s="22">
        <f>SUMIFS('전국 민방위 비상급수시설 현황'!$J$11:$J$100,'전국 민방위 비상급수시설 현황'!$B$11:$B$100,"경남",'전국 민방위 비상급수시설 현황'!$F$11:$F$100,"생활용수")-SUMIFS('전국 민방위 비상급수시설 현황'!$J$11:$J$100,'전국 민방위 비상급수시설 현황'!$B$11:$B$100,"경남",'전국 민방위 비상급수시설 현황'!$F$11:$F$100,"생활용수",'전국 민방위 비상급수시설 현황'!$O$11:$O$100,"지정해제")-SUMIFS('전국 민방위 비상급수시설 현황'!$J$11:$J$100,'전국 민방위 비상급수시설 현황'!$B$11:$B$100,"경남",'전국 민방위 비상급수시설 현황'!$F$11:$F$100,"생활용수",'전국 민방위 비상급수시설 현황'!$O$11:$O$100,"폐공")</f>
        <v>0</v>
      </c>
      <c r="K24" s="23" t="e">
        <f t="shared" si="13"/>
        <v>#DIV/0!</v>
      </c>
      <c r="L24" s="22">
        <f t="shared" si="5"/>
        <v>0</v>
      </c>
      <c r="M24" s="22">
        <f t="shared" si="6"/>
        <v>0</v>
      </c>
      <c r="N24" s="21">
        <f>COUNTIFS('전국 민방위 비상급수시설 현황'!$B$11:$B$100,"경남",'전국 민방위 비상급수시설 현황'!$E$11:$E$100,"정부지원")-COUNTIFS('전국 민방위 비상급수시설 현황'!$B$11:$B$100,"경남",'전국 민방위 비상급수시설 현황'!$E$11:$E$100,"정부지원",'전국 민방위 비상급수시설 현황'!$O$11:$O$100,"지정해제")
 - COUNTIFS('전국 민방위 비상급수시설 현황'!$B$11:$B$100,"경남",'전국 민방위 비상급수시설 현황'!$E$11:$E$100,"정부지원",'전국 민방위 비상급수시설 현황'!$O$11:$O$100,"폐공")</f>
        <v>0</v>
      </c>
      <c r="O24" s="21">
        <f>SUMIFS('전국 민방위 비상급수시설 현황'!$J$11:$J$100,'전국 민방위 비상급수시설 현황'!$B$11:$B$100,"경남",'전국 민방위 비상급수시설 현황'!$E$11:$E$100,"정부지원")-SUMIFS('전국 민방위 비상급수시설 현황'!$J$11:$J$100,'전국 민방위 비상급수시설 현황'!$B$11:$B$100,"경남",'전국 민방위 비상급수시설 현황'!$E$11:$E$100,"정부지원",'전국 민방위 비상급수시설 현황'!$O$11:$O$100,"지정해제")
-SUMIFS('전국 민방위 비상급수시설 현황'!$J$11:$J$100,'전국 민방위 비상급수시설 현황'!$B$11:$B$100,"경남",'전국 민방위 비상급수시설 현황'!$E$11:$E$100,"정부지원",'전국 민방위 비상급수시설 현황'!$O$11:$O$100,"폐공")</f>
        <v>0</v>
      </c>
      <c r="P24" s="21">
        <f>COUNTIFS('전국 민방위 비상급수시설 현황'!$B$11:$B$100,"경남",'전국 민방위 비상급수시설 현황'!$E$11:$E$100,"지자체")-COUNTIFS('전국 민방위 비상급수시설 현황'!$B$11:$B$100,"경남",'전국 민방위 비상급수시설 현황'!$E$11:$E$100,"지자체",'전국 민방위 비상급수시설 현황'!$O$11:$O$100,"지정해제")
 - COUNTIFS('전국 민방위 비상급수시설 현황'!$B$11:$B$100,"경남",'전국 민방위 비상급수시설 현황'!$E$11:$E$100,"지자체",'전국 민방위 비상급수시설 현황'!$O$11:$O$100,"폐공")</f>
        <v>0</v>
      </c>
      <c r="Q24" s="21">
        <f>SUMIFS('전국 민방위 비상급수시설 현황'!$J$11:$J$100,'전국 민방위 비상급수시설 현황'!$B$11:$B$100,"경남",'전국 민방위 비상급수시설 현황'!$E$11:$E$100,"지자체")-SUMIFS('전국 민방위 비상급수시설 현황'!$J$11:$J$100,'전국 민방위 비상급수시설 현황'!$B$11:$B$100,"경남",'전국 민방위 비상급수시설 현황'!$E$11:$E$100,"지자체",'전국 민방위 비상급수시설 현황'!$O$11:$O$100,"지정해제")
-SUMIFS('전국 민방위 비상급수시설 현황'!$J$11:$J$100,'전국 민방위 비상급수시설 현황'!$B$11:$B$100,"경남",'전국 민방위 비상급수시설 현황'!$E$11:$E$100,"지자체",'전국 민방위 비상급수시설 현황'!$O$11:$O$100,"폐공")</f>
        <v>0</v>
      </c>
      <c r="R24" s="21">
        <f>COUNTIFS('전국 민방위 비상급수시설 현황'!$B$11:$B$100,"경남",'전국 민방위 비상급수시설 현황'!$E$11:$E$100,"공공용")-COUNTIFS('전국 민방위 비상급수시설 현황'!$B$11:$B$100,"경남",'전국 민방위 비상급수시설 현황'!$E$11:$E$100,"공공용",'전국 민방위 비상급수시설 현황'!$O$11:$O$100,"지정해제")
 - COUNTIFS('전국 민방위 비상급수시설 현황'!$B$11:$B$100,"경남",'전국 민방위 비상급수시설 현황'!$E$11:$E$100,"공공용",'전국 민방위 비상급수시설 현황'!$O$11:$O$100,"폐공")</f>
        <v>0</v>
      </c>
      <c r="S24" s="21">
        <f>SUMIFS('전국 민방위 비상급수시설 현황'!$J$11:$J$100,'전국 민방위 비상급수시설 현황'!$B$11:$B$100,"경남",'전국 민방위 비상급수시설 현황'!$E$11:$E$100,"공공용")-SUMIFS('전국 민방위 비상급수시설 현황'!$J$11:$J$100,'전국 민방위 비상급수시설 현황'!$B$11:$B$100,"경남",'전국 민방위 비상급수시설 현황'!$E$11:$E$100,"공공용",'전국 민방위 비상급수시설 현황'!$O$11:$O$100,"지정해제")
-SUMIFS('전국 민방위 비상급수시설 현황'!$J$11:$J$100,'전국 민방위 비상급수시설 현황'!$B$11:$B$100,"경남",'전국 민방위 비상급수시설 현황'!$E$11:$E$100,"공공용",'전국 민방위 비상급수시설 현황'!$O$11:$O$100,"폐공")</f>
        <v>0</v>
      </c>
    </row>
    <row r="25" spans="1:19" ht="26.25" customHeight="1">
      <c r="A25" s="21" t="s">
        <v>49</v>
      </c>
      <c r="B25" s="24"/>
      <c r="C25" s="22">
        <f t="shared" si="7"/>
        <v>0</v>
      </c>
      <c r="D25" s="22">
        <f t="shared" si="8"/>
        <v>0</v>
      </c>
      <c r="E25" s="23" t="e">
        <f t="shared" si="9"/>
        <v>#DIV/0!</v>
      </c>
      <c r="F25" s="22">
        <f t="shared" si="10"/>
        <v>0</v>
      </c>
      <c r="G25" s="22">
        <f>SUMIFS('전국 민방위 비상급수시설 현황'!$J$11:$J$100,'전국 민방위 비상급수시설 현황'!$B$11:$B$100,"제주",'전국 민방위 비상급수시설 현황'!$F$11:$F$100,"음용수")-SUMIFS('전국 민방위 비상급수시설 현황'!$J$11:$J$100,'전국 민방위 비상급수시설 현황'!$B$11:$B$100,"제주",'전국 민방위 비상급수시설 현황'!$F$11:$F$100,"음용수",'전국 민방위 비상급수시설 현황'!$O$11:$O$100,"지정해제")-SUMIFS('전국 민방위 비상급수시설 현황'!$J$11:$J$100,'전국 민방위 비상급수시설 현황'!$B$11:$B$100,"제주",'전국 민방위 비상급수시설 현황'!$F$11:$F$100,"음용수",'전국 민방위 비상급수시설 현황'!$O$11:$O$100,"폐공")</f>
        <v>0</v>
      </c>
      <c r="H25" s="23" t="e">
        <f t="shared" si="11"/>
        <v>#DIV/0!</v>
      </c>
      <c r="I25" s="22">
        <f t="shared" si="12"/>
        <v>0</v>
      </c>
      <c r="J25" s="22">
        <f>SUMIFS('전국 민방위 비상급수시설 현황'!$J$11:$J$100,'전국 민방위 비상급수시설 현황'!$B$11:$B$100,"제주",'전국 민방위 비상급수시설 현황'!$F$11:$F$100,"생활용수")-SUMIFS('전국 민방위 비상급수시설 현황'!$J$11:$J$100,'전국 민방위 비상급수시설 현황'!$B$11:$B$100,"제주",'전국 민방위 비상급수시설 현황'!$F$11:$F$100,"생활용수",'전국 민방위 비상급수시설 현황'!$O$11:$O$100,"지정해제")-SUMIFS('전국 민방위 비상급수시설 현황'!$J$11:$J$100,'전국 민방위 비상급수시설 현황'!$B$11:$B$100,"제주",'전국 민방위 비상급수시설 현황'!$F$11:$F$100,"생활용수",'전국 민방위 비상급수시설 현황'!$O$11:$O$100,"폐공")</f>
        <v>0</v>
      </c>
      <c r="K25" s="23" t="e">
        <f t="shared" si="13"/>
        <v>#DIV/0!</v>
      </c>
      <c r="L25" s="22">
        <f t="shared" si="5"/>
        <v>0</v>
      </c>
      <c r="M25" s="22">
        <f t="shared" si="6"/>
        <v>0</v>
      </c>
      <c r="N25" s="21">
        <f>COUNTIFS('전국 민방위 비상급수시설 현황'!$B$11:$B$100,"제주",'전국 민방위 비상급수시설 현황'!$E$11:$E$100,"정부지원")-COUNTIFS('전국 민방위 비상급수시설 현황'!$B$11:$B$100,"제주",'전국 민방위 비상급수시설 현황'!$E$11:$E$100,"정부지원",'전국 민방위 비상급수시설 현황'!$O$11:$O$100,"지정해제")
 - COUNTIFS('전국 민방위 비상급수시설 현황'!$B$11:$B$100,"제주",'전국 민방위 비상급수시설 현황'!$E$11:$E$100,"정부지원",'전국 민방위 비상급수시설 현황'!$O$11:$O$100,"폐공")</f>
        <v>0</v>
      </c>
      <c r="O25" s="21">
        <f>SUMIFS('전국 민방위 비상급수시설 현황'!$J$11:$J$100,'전국 민방위 비상급수시설 현황'!$B$11:$B$100,"제주",'전국 민방위 비상급수시설 현황'!$E$11:$E$100,"정부지원")-SUMIFS('전국 민방위 비상급수시설 현황'!$J$11:$J$100,'전국 민방위 비상급수시설 현황'!$B$11:$B$100,"제주",'전국 민방위 비상급수시설 현황'!$E$11:$E$100,"정부지원",'전국 민방위 비상급수시설 현황'!$O$11:$O$100,"지정해제")
-SUMIFS('전국 민방위 비상급수시설 현황'!$J$11:$J$100,'전국 민방위 비상급수시설 현황'!$B$11:$B$100,"제주",'전국 민방위 비상급수시설 현황'!$E$11:$E$100,"정부지원",'전국 민방위 비상급수시설 현황'!$O$11:$O$100,"폐공")</f>
        <v>0</v>
      </c>
      <c r="P25" s="21">
        <f>COUNTIFS('전국 민방위 비상급수시설 현황'!$B$11:$B$100,"제주",'전국 민방위 비상급수시설 현황'!$E$11:$E$100,"지자체")-COUNTIFS('전국 민방위 비상급수시설 현황'!$B$11:$B$100,"제주",'전국 민방위 비상급수시설 현황'!$E$11:$E$100,"지자체",'전국 민방위 비상급수시설 현황'!$O$11:$O$100,"지정해제")
 - COUNTIFS('전국 민방위 비상급수시설 현황'!$B$11:$B$100,"제주",'전국 민방위 비상급수시설 현황'!$E$11:$E$100,"지자체",'전국 민방위 비상급수시설 현황'!$O$11:$O$100,"폐공")</f>
        <v>0</v>
      </c>
      <c r="Q25" s="21">
        <f>SUMIFS('전국 민방위 비상급수시설 현황'!$J$11:$J$100,'전국 민방위 비상급수시설 현황'!$B$11:$B$100,"제주",'전국 민방위 비상급수시설 현황'!$E$11:$E$100,"지자체")-SUMIFS('전국 민방위 비상급수시설 현황'!$J$11:$J$100,'전국 민방위 비상급수시설 현황'!$B$11:$B$100,"제주",'전국 민방위 비상급수시설 현황'!$E$11:$E$100,"지자체",'전국 민방위 비상급수시설 현황'!$O$11:$O$100,"지정해제")
-SUMIFS('전국 민방위 비상급수시설 현황'!$J$11:$J$100,'전국 민방위 비상급수시설 현황'!$B$11:$B$100,"제주",'전국 민방위 비상급수시설 현황'!$E$11:$E$100,"지자체",'전국 민방위 비상급수시설 현황'!$O$11:$O$100,"폐공")</f>
        <v>0</v>
      </c>
      <c r="R25" s="21">
        <f>COUNTIFS('전국 민방위 비상급수시설 현황'!$B$11:$B$100,"제주",'전국 민방위 비상급수시설 현황'!$E$11:$E$100,"공공용")-COUNTIFS('전국 민방위 비상급수시설 현황'!$B$11:$B$100,"제주",'전국 민방위 비상급수시설 현황'!$E$11:$E$100,"공공용",'전국 민방위 비상급수시설 현황'!$O$11:$O$100,"지정해제")
 - COUNTIFS('전국 민방위 비상급수시설 현황'!$B$11:$B$100,"제주",'전국 민방위 비상급수시설 현황'!$E$11:$E$100,"공공용",'전국 민방위 비상급수시설 현황'!$O$11:$O$100,"폐공")</f>
        <v>0</v>
      </c>
      <c r="S25" s="21">
        <f>SUMIFS('전국 민방위 비상급수시설 현황'!$J$11:$J$100,'전국 민방위 비상급수시설 현황'!$B$11:$B$100,"제주",'전국 민방위 비상급수시설 현황'!$E$11:$E$100,"공공용")-SUMIFS('전국 민방위 비상급수시설 현황'!$J$11:$J$100,'전국 민방위 비상급수시설 현황'!$B$11:$B$100,"제주",'전국 민방위 비상급수시설 현황'!$E$11:$E$100,"공공용",'전국 민방위 비상급수시설 현황'!$O$11:$O$100,"지정해제")
-SUMIFS('전국 민방위 비상급수시설 현황'!$J$11:$J$100,'전국 민방위 비상급수시설 현황'!$B$11:$B$100,"제주",'전국 민방위 비상급수시설 현황'!$E$11:$E$100,"공공용",'전국 민방위 비상급수시설 현황'!$O$11:$O$100,"폐공")</f>
        <v>0</v>
      </c>
    </row>
  </sheetData>
  <mergeCells count="11">
    <mergeCell ref="B5:B7"/>
    <mergeCell ref="A5:A7"/>
    <mergeCell ref="L6:M6"/>
    <mergeCell ref="L5:S5"/>
    <mergeCell ref="C6:D6"/>
    <mergeCell ref="N6:O6"/>
    <mergeCell ref="P6:Q6"/>
    <mergeCell ref="R6:S6"/>
    <mergeCell ref="C5:K5"/>
    <mergeCell ref="I6:K6"/>
    <mergeCell ref="F6:H6"/>
  </mergeCells>
  <phoneticPr fontId="3" type="noConversion"/>
  <pageMargins left="0.16" right="0.16" top="0.75" bottom="0.75" header="0.3" footer="0.3"/>
  <pageSetup paperSize="9" scale="4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O100"/>
  <sheetViews>
    <sheetView tabSelected="1" zoomScale="85" zoomScaleNormal="85" workbookViewId="0">
      <selection activeCell="A11" sqref="A11"/>
    </sheetView>
  </sheetViews>
  <sheetFormatPr defaultRowHeight="16.5"/>
  <cols>
    <col min="1" max="6" width="10.25" style="4" customWidth="1"/>
    <col min="7" max="7" width="25.5" style="4" bestFit="1" customWidth="1"/>
    <col min="8" max="8" width="35.625" style="11" customWidth="1"/>
    <col min="9" max="9" width="31.375" style="11" customWidth="1"/>
    <col min="10" max="10" width="21.375" style="4" customWidth="1"/>
    <col min="11" max="11" width="18.25" style="39" customWidth="1"/>
    <col min="12" max="12" width="19.25" style="2" bestFit="1" customWidth="1"/>
    <col min="13" max="14" width="25.875" style="2" customWidth="1"/>
    <col min="15" max="15" width="38.5" style="2" bestFit="1" customWidth="1"/>
    <col min="16" max="16384" width="9" style="1"/>
  </cols>
  <sheetData>
    <row r="4" spans="1:15" s="4" customFormat="1">
      <c r="B4" s="9" t="s">
        <v>16</v>
      </c>
      <c r="C4" s="10">
        <f>COUNTIF(E11:E100,"정부지원")</f>
        <v>6</v>
      </c>
      <c r="D4" s="10"/>
      <c r="E4" s="9" t="s">
        <v>18</v>
      </c>
      <c r="F4" s="10">
        <f>COUNTIF(F11:F100,"음용수")</f>
        <v>27</v>
      </c>
      <c r="H4" s="10" t="s">
        <v>65</v>
      </c>
      <c r="I4" s="37">
        <f>K4+K6</f>
        <v>0</v>
      </c>
      <c r="J4" s="12" t="s">
        <v>25</v>
      </c>
      <c r="K4" s="15">
        <f>COUNTIF($O$11:$O$100,"신규구축")</f>
        <v>0</v>
      </c>
      <c r="L4" s="2"/>
      <c r="M4" s="2"/>
      <c r="N4" s="26"/>
      <c r="O4" s="35" t="s">
        <v>67</v>
      </c>
    </row>
    <row r="5" spans="1:15" s="4" customFormat="1">
      <c r="B5" s="9" t="s">
        <v>21</v>
      </c>
      <c r="C5" s="10">
        <f>COUNTIF(E11:E100,"지자체")</f>
        <v>1</v>
      </c>
      <c r="D5" s="10"/>
      <c r="E5" s="9" t="s">
        <v>19</v>
      </c>
      <c r="F5" s="10">
        <f>COUNTIF(F11:F100,"생활용수")</f>
        <v>61</v>
      </c>
      <c r="H5" s="10" t="s">
        <v>30</v>
      </c>
      <c r="I5" s="37">
        <f>K5+K7</f>
        <v>0</v>
      </c>
      <c r="J5" s="12" t="s">
        <v>26</v>
      </c>
      <c r="K5" s="15">
        <f>COUNTIF($O$11:$O$100,"폐공")</f>
        <v>0</v>
      </c>
      <c r="L5" s="2"/>
      <c r="M5" s="2"/>
      <c r="N5" s="26"/>
      <c r="O5" s="36" t="s">
        <v>68</v>
      </c>
    </row>
    <row r="6" spans="1:15" s="4" customFormat="1">
      <c r="B6" s="9" t="s">
        <v>22</v>
      </c>
      <c r="C6" s="10">
        <f>COUNTIF(E11:E100,"공공용")</f>
        <v>83</v>
      </c>
      <c r="D6" s="10"/>
      <c r="E6" s="9"/>
      <c r="F6" s="10"/>
      <c r="H6" s="11"/>
      <c r="I6" s="11"/>
      <c r="J6" s="13" t="s">
        <v>27</v>
      </c>
      <c r="K6" s="15">
        <f>COUNTIF($O$11:$O$100,"신규지정")</f>
        <v>0</v>
      </c>
      <c r="L6" s="2"/>
      <c r="M6" s="2"/>
      <c r="N6" s="26"/>
      <c r="O6" s="36" t="s">
        <v>69</v>
      </c>
    </row>
    <row r="7" spans="1:15" s="4" customFormat="1">
      <c r="B7" s="10" t="s">
        <v>28</v>
      </c>
      <c r="C7" s="10">
        <f>SUM(C4:C6)</f>
        <v>90</v>
      </c>
      <c r="D7" s="10"/>
      <c r="E7" s="10" t="s">
        <v>29</v>
      </c>
      <c r="F7" s="10">
        <f>SUM(F4:F6)</f>
        <v>88</v>
      </c>
      <c r="H7" s="11"/>
      <c r="I7" s="11"/>
      <c r="J7" s="14" t="s">
        <v>23</v>
      </c>
      <c r="K7" s="15">
        <f>COUNTIF($O$11:$O$100,"지정해제")</f>
        <v>0</v>
      </c>
      <c r="L7" s="2"/>
      <c r="M7" s="2"/>
      <c r="N7" s="26"/>
      <c r="O7" s="36" t="s">
        <v>70</v>
      </c>
    </row>
    <row r="8" spans="1:15" s="34" customFormat="1">
      <c r="A8" s="38" t="s">
        <v>66</v>
      </c>
      <c r="B8" s="28"/>
      <c r="C8" s="28"/>
      <c r="D8" s="29">
        <f>SUBTOTAL(3,D11:D100)</f>
        <v>90</v>
      </c>
      <c r="E8" s="29"/>
      <c r="F8" s="29"/>
      <c r="G8" s="30"/>
      <c r="H8" s="31"/>
      <c r="I8" s="31"/>
      <c r="J8" s="32">
        <f>SUBTOTAL(9,J11:J100)</f>
        <v>6892</v>
      </c>
      <c r="K8" s="32">
        <f>SUBTOTAL(9,K11:K100)</f>
        <v>275680</v>
      </c>
      <c r="L8" s="30"/>
      <c r="M8" s="30"/>
      <c r="N8" s="33"/>
      <c r="O8" s="29">
        <f>SUBTOTAL(3,O11:O100)</f>
        <v>0</v>
      </c>
    </row>
    <row r="9" spans="1:15" s="4" customFormat="1" ht="21" customHeight="1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  <c r="F9" s="3" t="s">
        <v>5</v>
      </c>
      <c r="G9" s="63" t="s">
        <v>6</v>
      </c>
      <c r="H9" s="64"/>
      <c r="I9" s="64"/>
      <c r="J9" s="64"/>
      <c r="K9" s="65"/>
      <c r="L9" s="66" t="s">
        <v>24</v>
      </c>
      <c r="M9" s="66"/>
      <c r="N9" s="66"/>
      <c r="O9" s="66"/>
    </row>
    <row r="10" spans="1:15" s="4" customFormat="1" ht="21" customHeight="1">
      <c r="A10" s="5"/>
      <c r="B10" s="5"/>
      <c r="C10" s="5"/>
      <c r="D10" s="5"/>
      <c r="E10" s="5"/>
      <c r="F10" s="5"/>
      <c r="G10" s="6" t="s">
        <v>7</v>
      </c>
      <c r="H10" s="7" t="s">
        <v>8</v>
      </c>
      <c r="I10" s="7" t="s">
        <v>9</v>
      </c>
      <c r="J10" s="3" t="s">
        <v>10</v>
      </c>
      <c r="K10" s="8" t="s">
        <v>12</v>
      </c>
      <c r="L10" s="27" t="s">
        <v>17</v>
      </c>
      <c r="M10" s="27" t="s">
        <v>11</v>
      </c>
      <c r="N10" s="27" t="s">
        <v>31</v>
      </c>
      <c r="O10" s="27" t="s">
        <v>32</v>
      </c>
    </row>
    <row r="11" spans="1:15" s="48" customFormat="1" ht="42" customHeight="1">
      <c r="A11" s="40">
        <f>SUBTOTAL(3,$B$11:$B11)</f>
        <v>1</v>
      </c>
      <c r="B11" s="41" t="s">
        <v>304</v>
      </c>
      <c r="C11" s="42" t="s">
        <v>305</v>
      </c>
      <c r="D11" s="42" t="s">
        <v>306</v>
      </c>
      <c r="E11" s="42" t="s">
        <v>307</v>
      </c>
      <c r="F11" s="42" t="s">
        <v>308</v>
      </c>
      <c r="G11" s="43" t="s">
        <v>309</v>
      </c>
      <c r="H11" s="43" t="s">
        <v>310</v>
      </c>
      <c r="I11" s="43" t="s">
        <v>311</v>
      </c>
      <c r="J11" s="44">
        <v>150</v>
      </c>
      <c r="K11" s="45">
        <f>J11/0.025</f>
        <v>6000</v>
      </c>
      <c r="L11" s="46">
        <v>33900</v>
      </c>
      <c r="M11" s="46">
        <v>33969</v>
      </c>
      <c r="N11" s="47"/>
      <c r="O11" s="47"/>
    </row>
    <row r="12" spans="1:15" s="48" customFormat="1" ht="42" customHeight="1">
      <c r="A12" s="49">
        <f>SUBTOTAL(3,$B$11:$B12)</f>
        <v>2</v>
      </c>
      <c r="B12" s="42" t="s">
        <v>304</v>
      </c>
      <c r="C12" s="42" t="s">
        <v>305</v>
      </c>
      <c r="D12" s="42" t="s">
        <v>312</v>
      </c>
      <c r="E12" s="42" t="s">
        <v>313</v>
      </c>
      <c r="F12" s="42" t="s">
        <v>308</v>
      </c>
      <c r="G12" s="43" t="s">
        <v>314</v>
      </c>
      <c r="H12" s="43" t="s">
        <v>315</v>
      </c>
      <c r="I12" s="43" t="s">
        <v>316</v>
      </c>
      <c r="J12" s="50">
        <v>51</v>
      </c>
      <c r="K12" s="45">
        <f>J12/0.025</f>
        <v>2040</v>
      </c>
      <c r="L12" s="46">
        <v>34247</v>
      </c>
      <c r="M12" s="46">
        <v>34308</v>
      </c>
      <c r="N12" s="51"/>
      <c r="O12" s="51"/>
    </row>
    <row r="13" spans="1:15" s="48" customFormat="1" ht="42" customHeight="1">
      <c r="A13" s="49">
        <f>SUBTOTAL(3,$B$11:$B13)</f>
        <v>3</v>
      </c>
      <c r="B13" s="42" t="s">
        <v>304</v>
      </c>
      <c r="C13" s="42" t="s">
        <v>305</v>
      </c>
      <c r="D13" s="42" t="s">
        <v>317</v>
      </c>
      <c r="E13" s="42" t="s">
        <v>307</v>
      </c>
      <c r="F13" s="42" t="s">
        <v>308</v>
      </c>
      <c r="G13" s="43" t="s">
        <v>318</v>
      </c>
      <c r="H13" s="43" t="s">
        <v>319</v>
      </c>
      <c r="I13" s="43" t="s">
        <v>320</v>
      </c>
      <c r="J13" s="50">
        <v>150</v>
      </c>
      <c r="K13" s="45">
        <f>J13/0.025</f>
        <v>6000</v>
      </c>
      <c r="L13" s="46">
        <v>32671</v>
      </c>
      <c r="M13" s="46">
        <v>32852</v>
      </c>
      <c r="N13" s="51"/>
      <c r="O13" s="51"/>
    </row>
    <row r="14" spans="1:15" s="48" customFormat="1" ht="42" customHeight="1">
      <c r="A14" s="49">
        <f>SUBTOTAL(3,$B$11:$B14)</f>
        <v>4</v>
      </c>
      <c r="B14" s="42" t="s">
        <v>304</v>
      </c>
      <c r="C14" s="42" t="s">
        <v>305</v>
      </c>
      <c r="D14" s="42" t="s">
        <v>317</v>
      </c>
      <c r="E14" s="42" t="s">
        <v>307</v>
      </c>
      <c r="F14" s="42" t="s">
        <v>308</v>
      </c>
      <c r="G14" s="43" t="s">
        <v>321</v>
      </c>
      <c r="H14" s="43" t="s">
        <v>322</v>
      </c>
      <c r="I14" s="43" t="s">
        <v>323</v>
      </c>
      <c r="J14" s="50">
        <v>150</v>
      </c>
      <c r="K14" s="45">
        <f>J14/0.025</f>
        <v>6000</v>
      </c>
      <c r="L14" s="46">
        <v>32322</v>
      </c>
      <c r="M14" s="46">
        <v>32477</v>
      </c>
      <c r="N14" s="51"/>
      <c r="O14" s="51"/>
    </row>
    <row r="15" spans="1:15" s="48" customFormat="1" ht="42" customHeight="1">
      <c r="A15" s="49">
        <f>SUBTOTAL(3,$B$11:$B15)</f>
        <v>5</v>
      </c>
      <c r="B15" s="42" t="s">
        <v>304</v>
      </c>
      <c r="C15" s="42" t="s">
        <v>305</v>
      </c>
      <c r="D15" s="42" t="s">
        <v>317</v>
      </c>
      <c r="E15" s="42" t="s">
        <v>307</v>
      </c>
      <c r="F15" s="42" t="s">
        <v>308</v>
      </c>
      <c r="G15" s="43" t="s">
        <v>324</v>
      </c>
      <c r="H15" s="43" t="s">
        <v>325</v>
      </c>
      <c r="I15" s="43" t="s">
        <v>326</v>
      </c>
      <c r="J15" s="52">
        <v>270</v>
      </c>
      <c r="K15" s="45">
        <f>J15/0.025</f>
        <v>10800</v>
      </c>
      <c r="L15" s="46">
        <v>33003</v>
      </c>
      <c r="M15" s="46">
        <v>33214</v>
      </c>
      <c r="N15" s="51"/>
      <c r="O15" s="51"/>
    </row>
    <row r="16" spans="1:15" s="48" customFormat="1" ht="42" customHeight="1">
      <c r="A16" s="49">
        <f>SUBTOTAL(3,$B$11:$B16)</f>
        <v>6</v>
      </c>
      <c r="B16" s="42" t="s">
        <v>304</v>
      </c>
      <c r="C16" s="42" t="s">
        <v>305</v>
      </c>
      <c r="D16" s="42" t="s">
        <v>327</v>
      </c>
      <c r="E16" s="42" t="s">
        <v>307</v>
      </c>
      <c r="F16" s="42" t="s">
        <v>308</v>
      </c>
      <c r="G16" s="43" t="s">
        <v>328</v>
      </c>
      <c r="H16" s="43" t="s">
        <v>329</v>
      </c>
      <c r="I16" s="43" t="s">
        <v>330</v>
      </c>
      <c r="J16" s="50">
        <v>100</v>
      </c>
      <c r="K16" s="45">
        <f t="shared" ref="K16:K79" si="0">J16/0.025</f>
        <v>4000</v>
      </c>
      <c r="L16" s="46">
        <v>35297</v>
      </c>
      <c r="M16" s="46">
        <v>35430</v>
      </c>
      <c r="N16" s="51"/>
      <c r="O16" s="51"/>
    </row>
    <row r="17" spans="1:15" s="48" customFormat="1" ht="42" customHeight="1">
      <c r="A17" s="49">
        <f>SUBTOTAL(3,$B$11:$B17)</f>
        <v>7</v>
      </c>
      <c r="B17" s="42" t="s">
        <v>304</v>
      </c>
      <c r="C17" s="42" t="s">
        <v>305</v>
      </c>
      <c r="D17" s="42" t="s">
        <v>317</v>
      </c>
      <c r="E17" s="42" t="s">
        <v>307</v>
      </c>
      <c r="F17" s="42" t="s">
        <v>331</v>
      </c>
      <c r="G17" s="43" t="s">
        <v>332</v>
      </c>
      <c r="H17" s="43" t="s">
        <v>333</v>
      </c>
      <c r="I17" s="43" t="s">
        <v>334</v>
      </c>
      <c r="J17" s="50">
        <v>100</v>
      </c>
      <c r="K17" s="45">
        <f t="shared" si="0"/>
        <v>4000</v>
      </c>
      <c r="L17" s="46">
        <v>38610</v>
      </c>
      <c r="M17" s="46">
        <v>38760</v>
      </c>
      <c r="N17" s="51"/>
      <c r="O17" s="51"/>
    </row>
    <row r="18" spans="1:15" s="48" customFormat="1" ht="42" customHeight="1">
      <c r="A18" s="49">
        <f>SUBTOTAL(3,$B$11:$B18)</f>
        <v>8</v>
      </c>
      <c r="B18" s="42" t="s">
        <v>304</v>
      </c>
      <c r="C18" s="42" t="s">
        <v>305</v>
      </c>
      <c r="D18" s="42" t="s">
        <v>335</v>
      </c>
      <c r="E18" s="42" t="s">
        <v>14</v>
      </c>
      <c r="F18" s="42" t="s">
        <v>336</v>
      </c>
      <c r="G18" s="43" t="s">
        <v>337</v>
      </c>
      <c r="H18" s="53" t="s">
        <v>72</v>
      </c>
      <c r="I18" s="53" t="s">
        <v>338</v>
      </c>
      <c r="J18" s="53">
        <v>630</v>
      </c>
      <c r="K18" s="45">
        <f t="shared" si="0"/>
        <v>25200</v>
      </c>
      <c r="L18" s="46">
        <v>38655</v>
      </c>
      <c r="M18" s="46">
        <v>38655</v>
      </c>
      <c r="N18" s="54"/>
      <c r="O18" s="54"/>
    </row>
    <row r="19" spans="1:15" s="48" customFormat="1" ht="42" customHeight="1">
      <c r="A19" s="49">
        <f>SUBTOTAL(3,$B$11:$B19)</f>
        <v>9</v>
      </c>
      <c r="B19" s="42" t="s">
        <v>339</v>
      </c>
      <c r="C19" s="42" t="s">
        <v>340</v>
      </c>
      <c r="D19" s="42" t="s">
        <v>341</v>
      </c>
      <c r="E19" s="42" t="s">
        <v>14</v>
      </c>
      <c r="F19" s="42" t="s">
        <v>336</v>
      </c>
      <c r="G19" s="43" t="s">
        <v>337</v>
      </c>
      <c r="H19" s="53" t="s">
        <v>72</v>
      </c>
      <c r="I19" s="53" t="s">
        <v>342</v>
      </c>
      <c r="J19" s="53">
        <v>271</v>
      </c>
      <c r="K19" s="45">
        <f t="shared" si="0"/>
        <v>10840</v>
      </c>
      <c r="L19" s="46">
        <v>39051</v>
      </c>
      <c r="M19" s="46">
        <v>39051</v>
      </c>
      <c r="N19" s="54"/>
      <c r="O19" s="54"/>
    </row>
    <row r="20" spans="1:15" s="48" customFormat="1" ht="42" customHeight="1">
      <c r="A20" s="49">
        <f>SUBTOTAL(3,$B$11:$B20)</f>
        <v>10</v>
      </c>
      <c r="B20" s="42" t="s">
        <v>339</v>
      </c>
      <c r="C20" s="42" t="s">
        <v>340</v>
      </c>
      <c r="D20" s="42" t="s">
        <v>343</v>
      </c>
      <c r="E20" s="42" t="s">
        <v>14</v>
      </c>
      <c r="F20" s="42" t="s">
        <v>344</v>
      </c>
      <c r="G20" s="43" t="s">
        <v>345</v>
      </c>
      <c r="H20" s="53" t="s">
        <v>73</v>
      </c>
      <c r="I20" s="53" t="s">
        <v>346</v>
      </c>
      <c r="J20" s="53">
        <v>90</v>
      </c>
      <c r="K20" s="45">
        <f t="shared" si="0"/>
        <v>3600</v>
      </c>
      <c r="L20" s="46">
        <v>39051</v>
      </c>
      <c r="M20" s="46">
        <v>39051</v>
      </c>
      <c r="N20" s="54"/>
      <c r="O20" s="54"/>
    </row>
    <row r="21" spans="1:15" s="48" customFormat="1" ht="42" customHeight="1">
      <c r="A21" s="49">
        <f>SUBTOTAL(3,$B$11:$B21)</f>
        <v>11</v>
      </c>
      <c r="B21" s="42" t="s">
        <v>339</v>
      </c>
      <c r="C21" s="42" t="s">
        <v>340</v>
      </c>
      <c r="D21" s="42" t="s">
        <v>343</v>
      </c>
      <c r="E21" s="42" t="s">
        <v>14</v>
      </c>
      <c r="F21" s="42" t="s">
        <v>347</v>
      </c>
      <c r="G21" s="53" t="s">
        <v>74</v>
      </c>
      <c r="H21" s="53" t="s">
        <v>75</v>
      </c>
      <c r="I21" s="53" t="s">
        <v>348</v>
      </c>
      <c r="J21" s="53">
        <v>100</v>
      </c>
      <c r="K21" s="45">
        <f t="shared" si="0"/>
        <v>4000</v>
      </c>
      <c r="L21" s="46">
        <v>36248</v>
      </c>
      <c r="M21" s="46">
        <v>36248</v>
      </c>
      <c r="N21" s="54"/>
      <c r="O21" s="54"/>
    </row>
    <row r="22" spans="1:15" s="48" customFormat="1" ht="42" customHeight="1">
      <c r="A22" s="49">
        <f>SUBTOTAL(3,$B$11:$B22)</f>
        <v>12</v>
      </c>
      <c r="B22" s="42" t="s">
        <v>339</v>
      </c>
      <c r="C22" s="42" t="s">
        <v>340</v>
      </c>
      <c r="D22" s="42" t="s">
        <v>343</v>
      </c>
      <c r="E22" s="42" t="s">
        <v>14</v>
      </c>
      <c r="F22" s="42" t="s">
        <v>347</v>
      </c>
      <c r="G22" s="53" t="s">
        <v>76</v>
      </c>
      <c r="H22" s="53" t="s">
        <v>75</v>
      </c>
      <c r="I22" s="53" t="s">
        <v>349</v>
      </c>
      <c r="J22" s="53">
        <v>100</v>
      </c>
      <c r="K22" s="45">
        <f t="shared" si="0"/>
        <v>4000</v>
      </c>
      <c r="L22" s="46">
        <v>39051</v>
      </c>
      <c r="M22" s="46">
        <v>39051</v>
      </c>
      <c r="N22" s="54"/>
      <c r="O22" s="54"/>
    </row>
    <row r="23" spans="1:15" s="48" customFormat="1" ht="42" customHeight="1">
      <c r="A23" s="49">
        <f>SUBTOTAL(3,$B$11:$B23)</f>
        <v>13</v>
      </c>
      <c r="B23" s="42" t="s">
        <v>339</v>
      </c>
      <c r="C23" s="42" t="s">
        <v>340</v>
      </c>
      <c r="D23" s="42" t="s">
        <v>343</v>
      </c>
      <c r="E23" s="42" t="s">
        <v>14</v>
      </c>
      <c r="F23" s="42" t="s">
        <v>347</v>
      </c>
      <c r="G23" s="53" t="s">
        <v>77</v>
      </c>
      <c r="H23" s="53" t="s">
        <v>78</v>
      </c>
      <c r="I23" s="53" t="s">
        <v>350</v>
      </c>
      <c r="J23" s="53">
        <v>90</v>
      </c>
      <c r="K23" s="45">
        <f t="shared" si="0"/>
        <v>3600</v>
      </c>
      <c r="L23" s="46" t="s">
        <v>351</v>
      </c>
      <c r="M23" s="46" t="s">
        <v>351</v>
      </c>
      <c r="N23" s="54"/>
      <c r="O23" s="54"/>
    </row>
    <row r="24" spans="1:15" s="48" customFormat="1" ht="42" customHeight="1">
      <c r="A24" s="49">
        <f>SUBTOTAL(3,$B$11:$B24)</f>
        <v>14</v>
      </c>
      <c r="B24" s="42" t="s">
        <v>339</v>
      </c>
      <c r="C24" s="42" t="s">
        <v>340</v>
      </c>
      <c r="D24" s="42" t="s">
        <v>343</v>
      </c>
      <c r="E24" s="42" t="s">
        <v>14</v>
      </c>
      <c r="F24" s="42" t="s">
        <v>347</v>
      </c>
      <c r="G24" s="53" t="s">
        <v>79</v>
      </c>
      <c r="H24" s="53" t="s">
        <v>80</v>
      </c>
      <c r="I24" s="53" t="s">
        <v>352</v>
      </c>
      <c r="J24" s="53">
        <v>100</v>
      </c>
      <c r="K24" s="45">
        <f t="shared" si="0"/>
        <v>4000</v>
      </c>
      <c r="L24" s="46">
        <v>39051</v>
      </c>
      <c r="M24" s="46">
        <v>39051</v>
      </c>
      <c r="N24" s="54"/>
      <c r="O24" s="54"/>
    </row>
    <row r="25" spans="1:15" s="48" customFormat="1" ht="42" customHeight="1">
      <c r="A25" s="49">
        <f>SUBTOTAL(3,$B$11:$B25)</f>
        <v>15</v>
      </c>
      <c r="B25" s="42" t="s">
        <v>353</v>
      </c>
      <c r="C25" s="42" t="s">
        <v>354</v>
      </c>
      <c r="D25" s="42" t="s">
        <v>355</v>
      </c>
      <c r="E25" s="42" t="s">
        <v>14</v>
      </c>
      <c r="F25" s="42" t="s">
        <v>347</v>
      </c>
      <c r="G25" s="53" t="s">
        <v>81</v>
      </c>
      <c r="H25" s="53" t="s">
        <v>82</v>
      </c>
      <c r="I25" s="53" t="s">
        <v>356</v>
      </c>
      <c r="J25" s="53">
        <v>80</v>
      </c>
      <c r="K25" s="45">
        <f t="shared" si="0"/>
        <v>3200</v>
      </c>
      <c r="L25" s="46">
        <v>39051</v>
      </c>
      <c r="M25" s="46">
        <v>39051</v>
      </c>
      <c r="N25" s="54"/>
      <c r="O25" s="54"/>
    </row>
    <row r="26" spans="1:15" s="48" customFormat="1" ht="42" customHeight="1">
      <c r="A26" s="49">
        <f>SUBTOTAL(3,$B$11:$B26)</f>
        <v>16</v>
      </c>
      <c r="B26" s="42" t="s">
        <v>357</v>
      </c>
      <c r="C26" s="42" t="s">
        <v>358</v>
      </c>
      <c r="D26" s="42" t="s">
        <v>359</v>
      </c>
      <c r="E26" s="42" t="s">
        <v>14</v>
      </c>
      <c r="F26" s="42" t="s">
        <v>347</v>
      </c>
      <c r="G26" s="53" t="s">
        <v>83</v>
      </c>
      <c r="H26" s="53" t="s">
        <v>84</v>
      </c>
      <c r="I26" s="53" t="s">
        <v>360</v>
      </c>
      <c r="J26" s="53">
        <v>86</v>
      </c>
      <c r="K26" s="45">
        <f t="shared" si="0"/>
        <v>3440</v>
      </c>
      <c r="L26" s="46">
        <v>35795</v>
      </c>
      <c r="M26" s="46">
        <v>35795</v>
      </c>
      <c r="N26" s="54"/>
      <c r="O26" s="54"/>
    </row>
    <row r="27" spans="1:15" s="48" customFormat="1" ht="42" customHeight="1">
      <c r="A27" s="49">
        <f>SUBTOTAL(3,$B$11:$B27)</f>
        <v>17</v>
      </c>
      <c r="B27" s="42" t="s">
        <v>339</v>
      </c>
      <c r="C27" s="42" t="s">
        <v>340</v>
      </c>
      <c r="D27" s="42" t="s">
        <v>343</v>
      </c>
      <c r="E27" s="42" t="s">
        <v>14</v>
      </c>
      <c r="F27" s="42" t="s">
        <v>347</v>
      </c>
      <c r="G27" s="53" t="s">
        <v>85</v>
      </c>
      <c r="H27" s="53" t="s">
        <v>86</v>
      </c>
      <c r="I27" s="53" t="s">
        <v>361</v>
      </c>
      <c r="J27" s="53">
        <v>86</v>
      </c>
      <c r="K27" s="45">
        <f t="shared" si="0"/>
        <v>3440</v>
      </c>
      <c r="L27" s="46">
        <v>34512</v>
      </c>
      <c r="M27" s="46">
        <v>34512</v>
      </c>
      <c r="N27" s="54"/>
      <c r="O27" s="54"/>
    </row>
    <row r="28" spans="1:15" s="48" customFormat="1" ht="42" customHeight="1">
      <c r="A28" s="49">
        <f>SUBTOTAL(3,$B$11:$B28)</f>
        <v>18</v>
      </c>
      <c r="B28" s="42" t="s">
        <v>339</v>
      </c>
      <c r="C28" s="42" t="s">
        <v>340</v>
      </c>
      <c r="D28" s="42" t="s">
        <v>343</v>
      </c>
      <c r="E28" s="42" t="s">
        <v>14</v>
      </c>
      <c r="F28" s="42" t="s">
        <v>347</v>
      </c>
      <c r="G28" s="53" t="s">
        <v>87</v>
      </c>
      <c r="H28" s="53" t="s">
        <v>88</v>
      </c>
      <c r="I28" s="53" t="s">
        <v>362</v>
      </c>
      <c r="J28" s="53">
        <v>80</v>
      </c>
      <c r="K28" s="45">
        <f t="shared" si="0"/>
        <v>3200</v>
      </c>
      <c r="L28" s="46">
        <v>39051</v>
      </c>
      <c r="M28" s="46">
        <v>39051</v>
      </c>
      <c r="N28" s="54"/>
      <c r="O28" s="54"/>
    </row>
    <row r="29" spans="1:15" s="48" customFormat="1" ht="42" customHeight="1">
      <c r="A29" s="49">
        <f>SUBTOTAL(3,$B$11:$B29)</f>
        <v>19</v>
      </c>
      <c r="B29" s="42" t="s">
        <v>363</v>
      </c>
      <c r="C29" s="42" t="s">
        <v>364</v>
      </c>
      <c r="D29" s="42" t="s">
        <v>365</v>
      </c>
      <c r="E29" s="42" t="s">
        <v>14</v>
      </c>
      <c r="F29" s="42" t="s">
        <v>347</v>
      </c>
      <c r="G29" s="53" t="s">
        <v>89</v>
      </c>
      <c r="H29" s="53" t="s">
        <v>90</v>
      </c>
      <c r="I29" s="53" t="s">
        <v>366</v>
      </c>
      <c r="J29" s="53">
        <v>86</v>
      </c>
      <c r="K29" s="45">
        <f t="shared" si="0"/>
        <v>3440</v>
      </c>
      <c r="L29" s="46">
        <v>34500</v>
      </c>
      <c r="M29" s="46">
        <v>34500</v>
      </c>
      <c r="N29" s="54"/>
      <c r="O29" s="54"/>
    </row>
    <row r="30" spans="1:15" s="48" customFormat="1" ht="42" customHeight="1">
      <c r="A30" s="49">
        <f>SUBTOTAL(3,$B$11:$B30)</f>
        <v>20</v>
      </c>
      <c r="B30" s="42" t="s">
        <v>339</v>
      </c>
      <c r="C30" s="42" t="s">
        <v>340</v>
      </c>
      <c r="D30" s="53" t="s">
        <v>91</v>
      </c>
      <c r="E30" s="42" t="s">
        <v>14</v>
      </c>
      <c r="F30" s="53" t="s">
        <v>71</v>
      </c>
      <c r="G30" s="53" t="s">
        <v>367</v>
      </c>
      <c r="H30" s="53" t="s">
        <v>368</v>
      </c>
      <c r="I30" s="53" t="s">
        <v>369</v>
      </c>
      <c r="J30" s="53">
        <v>60</v>
      </c>
      <c r="K30" s="45">
        <f t="shared" si="0"/>
        <v>2400</v>
      </c>
      <c r="L30" s="46">
        <v>35016</v>
      </c>
      <c r="M30" s="46">
        <v>35016</v>
      </c>
      <c r="N30" s="54"/>
      <c r="O30" s="54"/>
    </row>
    <row r="31" spans="1:15" s="48" customFormat="1" ht="42" customHeight="1">
      <c r="A31" s="49">
        <f>SUBTOTAL(3,$B$11:$B31)</f>
        <v>21</v>
      </c>
      <c r="B31" s="42" t="s">
        <v>339</v>
      </c>
      <c r="C31" s="42" t="s">
        <v>340</v>
      </c>
      <c r="D31" s="53" t="s">
        <v>92</v>
      </c>
      <c r="E31" s="42" t="s">
        <v>14</v>
      </c>
      <c r="F31" s="42" t="s">
        <v>344</v>
      </c>
      <c r="G31" s="53" t="s">
        <v>93</v>
      </c>
      <c r="H31" s="53" t="s">
        <v>94</v>
      </c>
      <c r="I31" s="53" t="s">
        <v>370</v>
      </c>
      <c r="J31" s="53">
        <v>150</v>
      </c>
      <c r="K31" s="45">
        <f t="shared" si="0"/>
        <v>6000</v>
      </c>
      <c r="L31" s="46">
        <v>34337</v>
      </c>
      <c r="M31" s="46">
        <v>34337</v>
      </c>
      <c r="N31" s="54"/>
      <c r="O31" s="54"/>
    </row>
    <row r="32" spans="1:15" s="48" customFormat="1" ht="42" customHeight="1">
      <c r="A32" s="49">
        <f>SUBTOTAL(3,$B$11:$B32)</f>
        <v>22</v>
      </c>
      <c r="B32" s="42" t="s">
        <v>339</v>
      </c>
      <c r="C32" s="42" t="s">
        <v>340</v>
      </c>
      <c r="D32" s="53" t="s">
        <v>95</v>
      </c>
      <c r="E32" s="42" t="s">
        <v>14</v>
      </c>
      <c r="F32" s="42" t="s">
        <v>344</v>
      </c>
      <c r="G32" s="53" t="s">
        <v>96</v>
      </c>
      <c r="H32" s="53" t="s">
        <v>97</v>
      </c>
      <c r="I32" s="53" t="s">
        <v>371</v>
      </c>
      <c r="J32" s="53">
        <v>96</v>
      </c>
      <c r="K32" s="45">
        <f t="shared" si="0"/>
        <v>3840</v>
      </c>
      <c r="L32" s="46">
        <v>34638</v>
      </c>
      <c r="M32" s="46">
        <v>34638</v>
      </c>
      <c r="N32" s="54"/>
      <c r="O32" s="54"/>
    </row>
    <row r="33" spans="1:15" s="48" customFormat="1" ht="42" customHeight="1">
      <c r="A33" s="49">
        <f>SUBTOTAL(3,$B$11:$B33)</f>
        <v>23</v>
      </c>
      <c r="B33" s="42" t="s">
        <v>339</v>
      </c>
      <c r="C33" s="42" t="s">
        <v>340</v>
      </c>
      <c r="D33" s="53" t="s">
        <v>95</v>
      </c>
      <c r="E33" s="42" t="s">
        <v>14</v>
      </c>
      <c r="F33" s="42" t="s">
        <v>344</v>
      </c>
      <c r="G33" s="53" t="s">
        <v>98</v>
      </c>
      <c r="H33" s="53" t="s">
        <v>99</v>
      </c>
      <c r="I33" s="53" t="s">
        <v>372</v>
      </c>
      <c r="J33" s="53">
        <v>72</v>
      </c>
      <c r="K33" s="45">
        <f t="shared" si="0"/>
        <v>2880</v>
      </c>
      <c r="L33" s="46">
        <v>39051</v>
      </c>
      <c r="M33" s="46">
        <v>39051</v>
      </c>
      <c r="N33" s="54"/>
      <c r="O33" s="54"/>
    </row>
    <row r="34" spans="1:15" s="48" customFormat="1" ht="42" customHeight="1">
      <c r="A34" s="49">
        <f>SUBTOTAL(3,$B$11:$B34)</f>
        <v>24</v>
      </c>
      <c r="B34" s="42" t="s">
        <v>339</v>
      </c>
      <c r="C34" s="42" t="s">
        <v>340</v>
      </c>
      <c r="D34" s="53" t="s">
        <v>100</v>
      </c>
      <c r="E34" s="42" t="s">
        <v>14</v>
      </c>
      <c r="F34" s="42" t="s">
        <v>344</v>
      </c>
      <c r="G34" s="53" t="s">
        <v>101</v>
      </c>
      <c r="H34" s="53" t="s">
        <v>102</v>
      </c>
      <c r="I34" s="53" t="s">
        <v>373</v>
      </c>
      <c r="J34" s="53">
        <v>30</v>
      </c>
      <c r="K34" s="45">
        <f t="shared" si="0"/>
        <v>1200</v>
      </c>
      <c r="L34" s="46">
        <v>32510</v>
      </c>
      <c r="M34" s="46">
        <v>32510</v>
      </c>
      <c r="N34" s="54"/>
      <c r="O34" s="54"/>
    </row>
    <row r="35" spans="1:15" s="48" customFormat="1" ht="42" customHeight="1">
      <c r="A35" s="49">
        <f>SUBTOTAL(3,$B$11:$B35)</f>
        <v>25</v>
      </c>
      <c r="B35" s="42" t="s">
        <v>339</v>
      </c>
      <c r="C35" s="42" t="s">
        <v>340</v>
      </c>
      <c r="D35" s="53" t="s">
        <v>100</v>
      </c>
      <c r="E35" s="42" t="s">
        <v>14</v>
      </c>
      <c r="F35" s="42" t="s">
        <v>344</v>
      </c>
      <c r="G35" s="53" t="s">
        <v>103</v>
      </c>
      <c r="H35" s="53" t="s">
        <v>104</v>
      </c>
      <c r="I35" s="53" t="s">
        <v>374</v>
      </c>
      <c r="J35" s="53">
        <v>30</v>
      </c>
      <c r="K35" s="45">
        <f t="shared" si="0"/>
        <v>1200</v>
      </c>
      <c r="L35" s="46">
        <v>32510</v>
      </c>
      <c r="M35" s="46">
        <v>32510</v>
      </c>
      <c r="N35" s="54"/>
      <c r="O35" s="54"/>
    </row>
    <row r="36" spans="1:15" s="48" customFormat="1" ht="42" customHeight="1">
      <c r="A36" s="49">
        <f>SUBTOTAL(3,$B$11:$B36)</f>
        <v>26</v>
      </c>
      <c r="B36" s="42" t="s">
        <v>375</v>
      </c>
      <c r="C36" s="42" t="s">
        <v>376</v>
      </c>
      <c r="D36" s="53" t="s">
        <v>100</v>
      </c>
      <c r="E36" s="42" t="s">
        <v>14</v>
      </c>
      <c r="F36" s="42" t="s">
        <v>344</v>
      </c>
      <c r="G36" s="53" t="s">
        <v>105</v>
      </c>
      <c r="H36" s="53" t="s">
        <v>106</v>
      </c>
      <c r="I36" s="53" t="s">
        <v>377</v>
      </c>
      <c r="J36" s="53">
        <v>30</v>
      </c>
      <c r="K36" s="45">
        <f t="shared" si="0"/>
        <v>1200</v>
      </c>
      <c r="L36" s="46">
        <v>32510</v>
      </c>
      <c r="M36" s="46">
        <v>32510</v>
      </c>
      <c r="N36" s="54"/>
      <c r="O36" s="54"/>
    </row>
    <row r="37" spans="1:15" s="48" customFormat="1" ht="42" customHeight="1">
      <c r="A37" s="49">
        <f>SUBTOTAL(3,$B$11:$B37)</f>
        <v>27</v>
      </c>
      <c r="B37" s="42" t="s">
        <v>378</v>
      </c>
      <c r="C37" s="42" t="s">
        <v>379</v>
      </c>
      <c r="D37" s="53" t="s">
        <v>100</v>
      </c>
      <c r="E37" s="42" t="s">
        <v>14</v>
      </c>
      <c r="F37" s="53" t="s">
        <v>71</v>
      </c>
      <c r="G37" s="53" t="s">
        <v>107</v>
      </c>
      <c r="H37" s="53" t="s">
        <v>108</v>
      </c>
      <c r="I37" s="53" t="s">
        <v>109</v>
      </c>
      <c r="J37" s="53">
        <v>30</v>
      </c>
      <c r="K37" s="45">
        <f t="shared" si="0"/>
        <v>1200</v>
      </c>
      <c r="L37" s="46">
        <v>32509</v>
      </c>
      <c r="M37" s="46">
        <v>32509</v>
      </c>
      <c r="N37" s="54"/>
      <c r="O37" s="54"/>
    </row>
    <row r="38" spans="1:15" s="48" customFormat="1" ht="42" customHeight="1">
      <c r="A38" s="49">
        <f>SUBTOTAL(3,$B$11:$B38)</f>
        <v>28</v>
      </c>
      <c r="B38" s="42" t="s">
        <v>380</v>
      </c>
      <c r="C38" s="42" t="s">
        <v>381</v>
      </c>
      <c r="D38" s="53" t="s">
        <v>100</v>
      </c>
      <c r="E38" s="42" t="s">
        <v>14</v>
      </c>
      <c r="F38" s="53" t="s">
        <v>71</v>
      </c>
      <c r="G38" s="53" t="s">
        <v>110</v>
      </c>
      <c r="H38" s="53" t="s">
        <v>111</v>
      </c>
      <c r="I38" s="53" t="s">
        <v>112</v>
      </c>
      <c r="J38" s="53">
        <v>50</v>
      </c>
      <c r="K38" s="45">
        <f t="shared" si="0"/>
        <v>2000</v>
      </c>
      <c r="L38" s="46">
        <v>32510</v>
      </c>
      <c r="M38" s="46">
        <v>32510</v>
      </c>
      <c r="N38" s="54"/>
      <c r="O38" s="54"/>
    </row>
    <row r="39" spans="1:15" s="48" customFormat="1" ht="42" customHeight="1">
      <c r="A39" s="49">
        <f>SUBTOTAL(3,$B$11:$B39)</f>
        <v>29</v>
      </c>
      <c r="B39" s="42" t="s">
        <v>339</v>
      </c>
      <c r="C39" s="42" t="s">
        <v>340</v>
      </c>
      <c r="D39" s="53" t="s">
        <v>100</v>
      </c>
      <c r="E39" s="42" t="s">
        <v>14</v>
      </c>
      <c r="F39" s="53" t="s">
        <v>71</v>
      </c>
      <c r="G39" s="53" t="s">
        <v>113</v>
      </c>
      <c r="H39" s="53" t="s">
        <v>114</v>
      </c>
      <c r="I39" s="53" t="s">
        <v>115</v>
      </c>
      <c r="J39" s="53">
        <v>80</v>
      </c>
      <c r="K39" s="45">
        <f t="shared" si="0"/>
        <v>3200</v>
      </c>
      <c r="L39" s="46">
        <v>32510</v>
      </c>
      <c r="M39" s="46">
        <v>32510</v>
      </c>
      <c r="N39" s="54"/>
      <c r="O39" s="54"/>
    </row>
    <row r="40" spans="1:15" s="48" customFormat="1" ht="42" customHeight="1">
      <c r="A40" s="49">
        <f>SUBTOTAL(3,$B$11:$B40)</f>
        <v>30</v>
      </c>
      <c r="B40" s="42" t="s">
        <v>339</v>
      </c>
      <c r="C40" s="42" t="s">
        <v>340</v>
      </c>
      <c r="D40" s="53" t="s">
        <v>100</v>
      </c>
      <c r="E40" s="42" t="s">
        <v>14</v>
      </c>
      <c r="F40" s="53" t="s">
        <v>71</v>
      </c>
      <c r="G40" s="53" t="s">
        <v>116</v>
      </c>
      <c r="H40" s="53" t="s">
        <v>117</v>
      </c>
      <c r="I40" s="53" t="s">
        <v>118</v>
      </c>
      <c r="J40" s="53">
        <v>80</v>
      </c>
      <c r="K40" s="45">
        <f t="shared" si="0"/>
        <v>3200</v>
      </c>
      <c r="L40" s="46">
        <v>32510</v>
      </c>
      <c r="M40" s="46">
        <v>32510</v>
      </c>
      <c r="N40" s="54"/>
      <c r="O40" s="54"/>
    </row>
    <row r="41" spans="1:15" s="48" customFormat="1" ht="42" customHeight="1">
      <c r="A41" s="49">
        <f>SUBTOTAL(3,$B$11:$B41)</f>
        <v>31</v>
      </c>
      <c r="B41" s="42" t="s">
        <v>339</v>
      </c>
      <c r="C41" s="42" t="s">
        <v>340</v>
      </c>
      <c r="D41" s="53" t="s">
        <v>100</v>
      </c>
      <c r="E41" s="42" t="s">
        <v>14</v>
      </c>
      <c r="F41" s="53" t="s">
        <v>71</v>
      </c>
      <c r="G41" s="53" t="s">
        <v>119</v>
      </c>
      <c r="H41" s="53" t="s">
        <v>120</v>
      </c>
      <c r="I41" s="53" t="s">
        <v>121</v>
      </c>
      <c r="J41" s="53">
        <v>30</v>
      </c>
      <c r="K41" s="45">
        <f t="shared" si="0"/>
        <v>1200</v>
      </c>
      <c r="L41" s="46">
        <v>32510</v>
      </c>
      <c r="M41" s="46">
        <v>32510</v>
      </c>
      <c r="N41" s="54"/>
      <c r="O41" s="54"/>
    </row>
    <row r="42" spans="1:15" s="48" customFormat="1" ht="42" customHeight="1">
      <c r="A42" s="49">
        <f>SUBTOTAL(3,$B$11:$B42)</f>
        <v>32</v>
      </c>
      <c r="B42" s="42" t="s">
        <v>382</v>
      </c>
      <c r="C42" s="42" t="s">
        <v>383</v>
      </c>
      <c r="D42" s="53" t="s">
        <v>100</v>
      </c>
      <c r="E42" s="42" t="s">
        <v>14</v>
      </c>
      <c r="F42" s="53" t="s">
        <v>71</v>
      </c>
      <c r="G42" s="53" t="s">
        <v>122</v>
      </c>
      <c r="H42" s="53" t="s">
        <v>123</v>
      </c>
      <c r="I42" s="53" t="s">
        <v>124</v>
      </c>
      <c r="J42" s="53">
        <v>50</v>
      </c>
      <c r="K42" s="45">
        <f t="shared" si="0"/>
        <v>2000</v>
      </c>
      <c r="L42" s="46">
        <v>36279</v>
      </c>
      <c r="M42" s="46">
        <v>36279</v>
      </c>
      <c r="N42" s="54"/>
      <c r="O42" s="54"/>
    </row>
    <row r="43" spans="1:15" s="48" customFormat="1" ht="42" customHeight="1">
      <c r="A43" s="49">
        <f>SUBTOTAL(3,$B$11:$B43)</f>
        <v>33</v>
      </c>
      <c r="B43" s="42" t="s">
        <v>339</v>
      </c>
      <c r="C43" s="42" t="s">
        <v>340</v>
      </c>
      <c r="D43" s="53" t="s">
        <v>100</v>
      </c>
      <c r="E43" s="42" t="s">
        <v>14</v>
      </c>
      <c r="F43" s="53" t="s">
        <v>71</v>
      </c>
      <c r="G43" s="53" t="s">
        <v>125</v>
      </c>
      <c r="H43" s="53" t="s">
        <v>126</v>
      </c>
      <c r="I43" s="53" t="s">
        <v>127</v>
      </c>
      <c r="J43" s="53">
        <v>100</v>
      </c>
      <c r="K43" s="45">
        <f t="shared" si="0"/>
        <v>4000</v>
      </c>
      <c r="L43" s="46">
        <v>39051</v>
      </c>
      <c r="M43" s="46">
        <v>39051</v>
      </c>
      <c r="N43" s="54"/>
      <c r="O43" s="54"/>
    </row>
    <row r="44" spans="1:15" s="48" customFormat="1" ht="42" customHeight="1">
      <c r="A44" s="49">
        <f>SUBTOTAL(3,$B$11:$B44)</f>
        <v>34</v>
      </c>
      <c r="B44" s="42" t="s">
        <v>339</v>
      </c>
      <c r="C44" s="42" t="s">
        <v>340</v>
      </c>
      <c r="D44" s="53" t="s">
        <v>128</v>
      </c>
      <c r="E44" s="42" t="s">
        <v>14</v>
      </c>
      <c r="F44" s="53" t="s">
        <v>71</v>
      </c>
      <c r="G44" s="53" t="s">
        <v>129</v>
      </c>
      <c r="H44" s="53" t="s">
        <v>130</v>
      </c>
      <c r="I44" s="53" t="s">
        <v>131</v>
      </c>
      <c r="J44" s="53">
        <v>72</v>
      </c>
      <c r="K44" s="45">
        <f t="shared" si="0"/>
        <v>2880</v>
      </c>
      <c r="L44" s="46">
        <v>34337</v>
      </c>
      <c r="M44" s="46">
        <v>34337</v>
      </c>
      <c r="N44" s="54"/>
      <c r="O44" s="54"/>
    </row>
    <row r="45" spans="1:15" s="48" customFormat="1" ht="42" customHeight="1">
      <c r="A45" s="49">
        <f>SUBTOTAL(3,$B$11:$B45)</f>
        <v>35</v>
      </c>
      <c r="B45" s="42" t="s">
        <v>384</v>
      </c>
      <c r="C45" s="42" t="s">
        <v>385</v>
      </c>
      <c r="D45" s="53" t="s">
        <v>128</v>
      </c>
      <c r="E45" s="42" t="s">
        <v>14</v>
      </c>
      <c r="F45" s="53" t="s">
        <v>71</v>
      </c>
      <c r="G45" s="53" t="s">
        <v>132</v>
      </c>
      <c r="H45" s="53" t="s">
        <v>133</v>
      </c>
      <c r="I45" s="53" t="s">
        <v>134</v>
      </c>
      <c r="J45" s="53">
        <v>72</v>
      </c>
      <c r="K45" s="45">
        <f t="shared" si="0"/>
        <v>2880</v>
      </c>
      <c r="L45" s="55">
        <v>35432</v>
      </c>
      <c r="M45" s="55">
        <v>35432</v>
      </c>
      <c r="N45" s="54"/>
      <c r="O45" s="54"/>
    </row>
    <row r="46" spans="1:15" s="48" customFormat="1" ht="42" customHeight="1">
      <c r="A46" s="49">
        <f>SUBTOTAL(3,$B$11:$B46)</f>
        <v>36</v>
      </c>
      <c r="B46" s="42" t="s">
        <v>339</v>
      </c>
      <c r="C46" s="42" t="s">
        <v>340</v>
      </c>
      <c r="D46" s="53" t="s">
        <v>128</v>
      </c>
      <c r="E46" s="42" t="s">
        <v>14</v>
      </c>
      <c r="F46" s="53" t="s">
        <v>71</v>
      </c>
      <c r="G46" s="53" t="s">
        <v>135</v>
      </c>
      <c r="H46" s="53" t="s">
        <v>136</v>
      </c>
      <c r="I46" s="53" t="s">
        <v>137</v>
      </c>
      <c r="J46" s="53">
        <v>80</v>
      </c>
      <c r="K46" s="45">
        <f t="shared" si="0"/>
        <v>3200</v>
      </c>
      <c r="L46" s="55">
        <v>39080</v>
      </c>
      <c r="M46" s="55">
        <v>39080</v>
      </c>
      <c r="N46" s="54"/>
      <c r="O46" s="54"/>
    </row>
    <row r="47" spans="1:15" s="48" customFormat="1" ht="42" customHeight="1">
      <c r="A47" s="49">
        <f>SUBTOTAL(3,$B$11:$B47)</f>
        <v>37</v>
      </c>
      <c r="B47" s="42" t="s">
        <v>339</v>
      </c>
      <c r="C47" s="42" t="s">
        <v>340</v>
      </c>
      <c r="D47" s="53" t="s">
        <v>128</v>
      </c>
      <c r="E47" s="42" t="s">
        <v>14</v>
      </c>
      <c r="F47" s="53" t="s">
        <v>71</v>
      </c>
      <c r="G47" s="53" t="s">
        <v>138</v>
      </c>
      <c r="H47" s="53" t="s">
        <v>139</v>
      </c>
      <c r="I47" s="53" t="s">
        <v>140</v>
      </c>
      <c r="J47" s="53">
        <v>72</v>
      </c>
      <c r="K47" s="45">
        <f t="shared" si="0"/>
        <v>2880</v>
      </c>
      <c r="L47" s="56">
        <v>34337</v>
      </c>
      <c r="M47" s="56">
        <v>34337</v>
      </c>
      <c r="N47" s="54"/>
      <c r="O47" s="54"/>
    </row>
    <row r="48" spans="1:15" s="48" customFormat="1" ht="42" customHeight="1">
      <c r="A48" s="49">
        <f>SUBTOTAL(3,$B$11:$B48)</f>
        <v>38</v>
      </c>
      <c r="B48" s="42" t="s">
        <v>339</v>
      </c>
      <c r="C48" s="42" t="s">
        <v>340</v>
      </c>
      <c r="D48" s="53" t="s">
        <v>141</v>
      </c>
      <c r="E48" s="42" t="s">
        <v>14</v>
      </c>
      <c r="F48" s="53" t="s">
        <v>71</v>
      </c>
      <c r="G48" s="53" t="s">
        <v>142</v>
      </c>
      <c r="H48" s="53" t="s">
        <v>143</v>
      </c>
      <c r="I48" s="53" t="s">
        <v>144</v>
      </c>
      <c r="J48" s="53">
        <v>200</v>
      </c>
      <c r="K48" s="45">
        <f t="shared" si="0"/>
        <v>8000</v>
      </c>
      <c r="L48" s="56">
        <v>38663</v>
      </c>
      <c r="M48" s="56">
        <v>38663</v>
      </c>
      <c r="N48" s="54"/>
      <c r="O48" s="54"/>
    </row>
    <row r="49" spans="1:15" s="48" customFormat="1" ht="42" customHeight="1">
      <c r="A49" s="49">
        <f>SUBTOTAL(3,$B$11:$B49)</f>
        <v>39</v>
      </c>
      <c r="B49" s="42" t="s">
        <v>339</v>
      </c>
      <c r="C49" s="42" t="s">
        <v>340</v>
      </c>
      <c r="D49" s="53" t="s">
        <v>141</v>
      </c>
      <c r="E49" s="42" t="s">
        <v>14</v>
      </c>
      <c r="F49" s="53" t="s">
        <v>71</v>
      </c>
      <c r="G49" s="53" t="s">
        <v>145</v>
      </c>
      <c r="H49" s="53" t="s">
        <v>146</v>
      </c>
      <c r="I49" s="53" t="s">
        <v>147</v>
      </c>
      <c r="J49" s="53">
        <v>25</v>
      </c>
      <c r="K49" s="45">
        <f t="shared" si="0"/>
        <v>1000</v>
      </c>
      <c r="L49" s="56">
        <v>39341</v>
      </c>
      <c r="M49" s="56">
        <v>39341</v>
      </c>
      <c r="N49" s="54"/>
      <c r="O49" s="54"/>
    </row>
    <row r="50" spans="1:15" s="48" customFormat="1" ht="42" customHeight="1">
      <c r="A50" s="49">
        <f>SUBTOTAL(3,$B$11:$B50)</f>
        <v>40</v>
      </c>
      <c r="B50" s="42" t="s">
        <v>339</v>
      </c>
      <c r="C50" s="42" t="s">
        <v>340</v>
      </c>
      <c r="D50" s="53" t="s">
        <v>148</v>
      </c>
      <c r="E50" s="42" t="s">
        <v>14</v>
      </c>
      <c r="F50" s="42" t="s">
        <v>344</v>
      </c>
      <c r="G50" s="53" t="s">
        <v>149</v>
      </c>
      <c r="H50" s="53" t="s">
        <v>150</v>
      </c>
      <c r="I50" s="53" t="s">
        <v>151</v>
      </c>
      <c r="J50" s="53">
        <v>86</v>
      </c>
      <c r="K50" s="45">
        <f t="shared" si="0"/>
        <v>3440</v>
      </c>
      <c r="L50" s="56">
        <v>35736</v>
      </c>
      <c r="M50" s="56">
        <v>35736</v>
      </c>
      <c r="N50" s="54"/>
      <c r="O50" s="54"/>
    </row>
    <row r="51" spans="1:15" s="48" customFormat="1" ht="42" customHeight="1">
      <c r="A51" s="49">
        <f>SUBTOTAL(3,$B$11:$B51)</f>
        <v>41</v>
      </c>
      <c r="B51" s="42" t="s">
        <v>339</v>
      </c>
      <c r="C51" s="42" t="s">
        <v>340</v>
      </c>
      <c r="D51" s="53" t="s">
        <v>148</v>
      </c>
      <c r="E51" s="42" t="s">
        <v>14</v>
      </c>
      <c r="F51" s="53" t="s">
        <v>71</v>
      </c>
      <c r="G51" s="53" t="s">
        <v>152</v>
      </c>
      <c r="H51" s="53" t="s">
        <v>153</v>
      </c>
      <c r="I51" s="53" t="s">
        <v>154</v>
      </c>
      <c r="J51" s="53">
        <v>25</v>
      </c>
      <c r="K51" s="45">
        <f t="shared" si="0"/>
        <v>1000</v>
      </c>
      <c r="L51" s="56">
        <v>31778</v>
      </c>
      <c r="M51" s="56">
        <v>31778</v>
      </c>
      <c r="N51" s="54"/>
      <c r="O51" s="54"/>
    </row>
    <row r="52" spans="1:15" s="48" customFormat="1" ht="42" customHeight="1">
      <c r="A52" s="49">
        <f>SUBTOTAL(3,$B$11:$B52)</f>
        <v>42</v>
      </c>
      <c r="B52" s="42" t="s">
        <v>386</v>
      </c>
      <c r="C52" s="42" t="s">
        <v>387</v>
      </c>
      <c r="D52" s="53" t="s">
        <v>148</v>
      </c>
      <c r="E52" s="42" t="s">
        <v>14</v>
      </c>
      <c r="F52" s="53" t="s">
        <v>71</v>
      </c>
      <c r="G52" s="53" t="s">
        <v>155</v>
      </c>
      <c r="H52" s="53" t="s">
        <v>156</v>
      </c>
      <c r="I52" s="53" t="s">
        <v>157</v>
      </c>
      <c r="J52" s="53">
        <v>25</v>
      </c>
      <c r="K52" s="45">
        <f t="shared" si="0"/>
        <v>1000</v>
      </c>
      <c r="L52" s="56">
        <v>31778</v>
      </c>
      <c r="M52" s="56">
        <v>31778</v>
      </c>
      <c r="N52" s="54"/>
      <c r="O52" s="54"/>
    </row>
    <row r="53" spans="1:15" s="48" customFormat="1" ht="42" customHeight="1">
      <c r="A53" s="49">
        <f>SUBTOTAL(3,$B$11:$B53)</f>
        <v>43</v>
      </c>
      <c r="B53" s="42" t="s">
        <v>388</v>
      </c>
      <c r="C53" s="42" t="s">
        <v>389</v>
      </c>
      <c r="D53" s="53" t="s">
        <v>148</v>
      </c>
      <c r="E53" s="42" t="s">
        <v>14</v>
      </c>
      <c r="F53" s="53" t="s">
        <v>71</v>
      </c>
      <c r="G53" s="53" t="s">
        <v>158</v>
      </c>
      <c r="H53" s="53" t="s">
        <v>159</v>
      </c>
      <c r="I53" s="53" t="s">
        <v>160</v>
      </c>
      <c r="J53" s="53">
        <v>25</v>
      </c>
      <c r="K53" s="45">
        <f t="shared" si="0"/>
        <v>1000</v>
      </c>
      <c r="L53" s="56">
        <v>38666</v>
      </c>
      <c r="M53" s="56">
        <v>38666</v>
      </c>
      <c r="N53" s="54"/>
      <c r="O53" s="54"/>
    </row>
    <row r="54" spans="1:15" s="48" customFormat="1" ht="42" customHeight="1">
      <c r="A54" s="49">
        <f>SUBTOTAL(3,$B$11:$B54)</f>
        <v>44</v>
      </c>
      <c r="B54" s="42" t="s">
        <v>390</v>
      </c>
      <c r="C54" s="42" t="s">
        <v>391</v>
      </c>
      <c r="D54" s="53" t="s">
        <v>148</v>
      </c>
      <c r="E54" s="42" t="s">
        <v>14</v>
      </c>
      <c r="F54" s="53" t="s">
        <v>71</v>
      </c>
      <c r="G54" s="53" t="s">
        <v>161</v>
      </c>
      <c r="H54" s="53" t="s">
        <v>162</v>
      </c>
      <c r="I54" s="53" t="s">
        <v>163</v>
      </c>
      <c r="J54" s="53">
        <v>35</v>
      </c>
      <c r="K54" s="45">
        <f t="shared" si="0"/>
        <v>1400</v>
      </c>
      <c r="L54" s="56">
        <v>38666</v>
      </c>
      <c r="M54" s="56">
        <v>38666</v>
      </c>
      <c r="N54" s="54"/>
      <c r="O54" s="54"/>
    </row>
    <row r="55" spans="1:15" s="48" customFormat="1" ht="42" customHeight="1">
      <c r="A55" s="49">
        <f>SUBTOTAL(3,$B$11:$B55)</f>
        <v>45</v>
      </c>
      <c r="B55" s="42" t="s">
        <v>392</v>
      </c>
      <c r="C55" s="42" t="s">
        <v>393</v>
      </c>
      <c r="D55" s="53" t="s">
        <v>148</v>
      </c>
      <c r="E55" s="42" t="s">
        <v>14</v>
      </c>
      <c r="F55" s="42" t="s">
        <v>344</v>
      </c>
      <c r="G55" s="53" t="s">
        <v>164</v>
      </c>
      <c r="H55" s="53" t="s">
        <v>165</v>
      </c>
      <c r="I55" s="53" t="s">
        <v>166</v>
      </c>
      <c r="J55" s="53">
        <v>98</v>
      </c>
      <c r="K55" s="45">
        <f t="shared" si="0"/>
        <v>3920</v>
      </c>
      <c r="L55" s="56">
        <v>38666</v>
      </c>
      <c r="M55" s="56">
        <v>38666</v>
      </c>
      <c r="N55" s="54"/>
      <c r="O55" s="54"/>
    </row>
    <row r="56" spans="1:15" s="48" customFormat="1" ht="42" customHeight="1">
      <c r="A56" s="49">
        <f>SUBTOTAL(3,$B$11:$B56)</f>
        <v>46</v>
      </c>
      <c r="B56" s="42" t="s">
        <v>339</v>
      </c>
      <c r="C56" s="42" t="s">
        <v>340</v>
      </c>
      <c r="D56" s="53" t="s">
        <v>148</v>
      </c>
      <c r="E56" s="42" t="s">
        <v>14</v>
      </c>
      <c r="F56" s="42" t="s">
        <v>344</v>
      </c>
      <c r="G56" s="53" t="s">
        <v>167</v>
      </c>
      <c r="H56" s="53" t="s">
        <v>168</v>
      </c>
      <c r="I56" s="53" t="s">
        <v>169</v>
      </c>
      <c r="J56" s="53">
        <v>70</v>
      </c>
      <c r="K56" s="45">
        <f t="shared" si="0"/>
        <v>2800</v>
      </c>
      <c r="L56" s="56">
        <v>38666</v>
      </c>
      <c r="M56" s="56">
        <v>38666</v>
      </c>
      <c r="N56" s="54"/>
      <c r="O56" s="54"/>
    </row>
    <row r="57" spans="1:15" s="48" customFormat="1" ht="42" customHeight="1">
      <c r="A57" s="49">
        <f>SUBTOTAL(3,$B$11:$B57)</f>
        <v>47</v>
      </c>
      <c r="B57" s="42" t="s">
        <v>339</v>
      </c>
      <c r="C57" s="42" t="s">
        <v>340</v>
      </c>
      <c r="D57" s="53" t="s">
        <v>148</v>
      </c>
      <c r="E57" s="42" t="s">
        <v>14</v>
      </c>
      <c r="F57" s="53" t="s">
        <v>71</v>
      </c>
      <c r="G57" s="53" t="s">
        <v>170</v>
      </c>
      <c r="H57" s="53" t="s">
        <v>171</v>
      </c>
      <c r="I57" s="53" t="s">
        <v>172</v>
      </c>
      <c r="J57" s="53">
        <v>52</v>
      </c>
      <c r="K57" s="45">
        <f t="shared" si="0"/>
        <v>2080</v>
      </c>
      <c r="L57" s="56">
        <v>39028</v>
      </c>
      <c r="M57" s="56">
        <v>39028</v>
      </c>
      <c r="N57" s="54"/>
      <c r="O57" s="54"/>
    </row>
    <row r="58" spans="1:15" s="48" customFormat="1" ht="42" customHeight="1">
      <c r="A58" s="49">
        <f>SUBTOTAL(3,$B$11:$B58)</f>
        <v>48</v>
      </c>
      <c r="B58" s="42" t="s">
        <v>339</v>
      </c>
      <c r="C58" s="42" t="s">
        <v>340</v>
      </c>
      <c r="D58" s="53" t="s">
        <v>173</v>
      </c>
      <c r="E58" s="42" t="s">
        <v>14</v>
      </c>
      <c r="F58" s="53" t="s">
        <v>71</v>
      </c>
      <c r="G58" s="53" t="s">
        <v>174</v>
      </c>
      <c r="H58" s="53" t="s">
        <v>175</v>
      </c>
      <c r="I58" s="53" t="s">
        <v>176</v>
      </c>
      <c r="J58" s="53">
        <v>56</v>
      </c>
      <c r="K58" s="45">
        <f t="shared" si="0"/>
        <v>2240</v>
      </c>
      <c r="L58" s="56">
        <v>34337</v>
      </c>
      <c r="M58" s="56">
        <v>34337</v>
      </c>
      <c r="N58" s="54"/>
      <c r="O58" s="54"/>
    </row>
    <row r="59" spans="1:15" s="48" customFormat="1" ht="42" customHeight="1">
      <c r="A59" s="49">
        <f>SUBTOTAL(3,$B$11:$B59)</f>
        <v>49</v>
      </c>
      <c r="B59" s="42" t="s">
        <v>339</v>
      </c>
      <c r="C59" s="42" t="s">
        <v>340</v>
      </c>
      <c r="D59" s="53" t="s">
        <v>173</v>
      </c>
      <c r="E59" s="42" t="s">
        <v>14</v>
      </c>
      <c r="F59" s="53" t="s">
        <v>71</v>
      </c>
      <c r="G59" s="53" t="s">
        <v>177</v>
      </c>
      <c r="H59" s="53" t="s">
        <v>178</v>
      </c>
      <c r="I59" s="53" t="s">
        <v>179</v>
      </c>
      <c r="J59" s="53">
        <v>115</v>
      </c>
      <c r="K59" s="45">
        <f t="shared" si="0"/>
        <v>4600</v>
      </c>
      <c r="L59" s="56">
        <v>38666</v>
      </c>
      <c r="M59" s="56">
        <v>38666</v>
      </c>
      <c r="N59" s="54"/>
      <c r="O59" s="54"/>
    </row>
    <row r="60" spans="1:15" s="48" customFormat="1" ht="42" customHeight="1">
      <c r="A60" s="49">
        <f>SUBTOTAL(3,$B$11:$B60)</f>
        <v>50</v>
      </c>
      <c r="B60" s="42" t="s">
        <v>339</v>
      </c>
      <c r="C60" s="42" t="s">
        <v>340</v>
      </c>
      <c r="D60" s="53" t="s">
        <v>173</v>
      </c>
      <c r="E60" s="42" t="s">
        <v>14</v>
      </c>
      <c r="F60" s="53" t="s">
        <v>71</v>
      </c>
      <c r="G60" s="53" t="s">
        <v>180</v>
      </c>
      <c r="H60" s="53" t="s">
        <v>181</v>
      </c>
      <c r="I60" s="53" t="s">
        <v>182</v>
      </c>
      <c r="J60" s="53">
        <v>115</v>
      </c>
      <c r="K60" s="45">
        <f t="shared" si="0"/>
        <v>4600</v>
      </c>
      <c r="L60" s="56">
        <v>38666</v>
      </c>
      <c r="M60" s="56">
        <v>38666</v>
      </c>
      <c r="N60" s="54"/>
      <c r="O60" s="54"/>
    </row>
    <row r="61" spans="1:15" s="48" customFormat="1" ht="42" customHeight="1">
      <c r="A61" s="49">
        <f>SUBTOTAL(3,$B$11:$B61)</f>
        <v>51</v>
      </c>
      <c r="B61" s="42" t="s">
        <v>339</v>
      </c>
      <c r="C61" s="42" t="s">
        <v>340</v>
      </c>
      <c r="D61" s="53" t="s">
        <v>183</v>
      </c>
      <c r="E61" s="42" t="s">
        <v>14</v>
      </c>
      <c r="F61" s="53" t="s">
        <v>71</v>
      </c>
      <c r="G61" s="53" t="s">
        <v>184</v>
      </c>
      <c r="H61" s="53" t="s">
        <v>185</v>
      </c>
      <c r="I61" s="53" t="s">
        <v>186</v>
      </c>
      <c r="J61" s="53">
        <v>36</v>
      </c>
      <c r="K61" s="45">
        <f t="shared" si="0"/>
        <v>1440</v>
      </c>
      <c r="L61" s="56">
        <v>34821</v>
      </c>
      <c r="M61" s="56">
        <v>34821</v>
      </c>
      <c r="N61" s="54"/>
      <c r="O61" s="54"/>
    </row>
    <row r="62" spans="1:15" s="48" customFormat="1" ht="42" customHeight="1">
      <c r="A62" s="49">
        <f>SUBTOTAL(3,$B$11:$B62)</f>
        <v>52</v>
      </c>
      <c r="B62" s="42" t="s">
        <v>339</v>
      </c>
      <c r="C62" s="42" t="s">
        <v>340</v>
      </c>
      <c r="D62" s="53" t="s">
        <v>183</v>
      </c>
      <c r="E62" s="42" t="s">
        <v>14</v>
      </c>
      <c r="F62" s="53" t="s">
        <v>71</v>
      </c>
      <c r="G62" s="53" t="s">
        <v>187</v>
      </c>
      <c r="H62" s="53" t="s">
        <v>188</v>
      </c>
      <c r="I62" s="53" t="s">
        <v>189</v>
      </c>
      <c r="J62" s="53">
        <v>40</v>
      </c>
      <c r="K62" s="45">
        <f t="shared" si="0"/>
        <v>1600</v>
      </c>
      <c r="L62" s="56">
        <v>34337</v>
      </c>
      <c r="M62" s="56">
        <v>34337</v>
      </c>
      <c r="N62" s="54"/>
      <c r="O62" s="54"/>
    </row>
    <row r="63" spans="1:15" s="48" customFormat="1" ht="42" customHeight="1">
      <c r="A63" s="49">
        <f>SUBTOTAL(3,$B$11:$B63)</f>
        <v>53</v>
      </c>
      <c r="B63" s="42" t="s">
        <v>339</v>
      </c>
      <c r="C63" s="42" t="s">
        <v>340</v>
      </c>
      <c r="D63" s="53" t="s">
        <v>183</v>
      </c>
      <c r="E63" s="42" t="s">
        <v>14</v>
      </c>
      <c r="F63" s="53" t="s">
        <v>71</v>
      </c>
      <c r="G63" s="53" t="s">
        <v>190</v>
      </c>
      <c r="H63" s="53" t="s">
        <v>191</v>
      </c>
      <c r="I63" s="53" t="s">
        <v>192</v>
      </c>
      <c r="J63" s="53">
        <v>90</v>
      </c>
      <c r="K63" s="45">
        <f t="shared" si="0"/>
        <v>3600</v>
      </c>
      <c r="L63" s="56">
        <v>34701</v>
      </c>
      <c r="M63" s="56">
        <v>34701</v>
      </c>
      <c r="N63" s="54"/>
      <c r="O63" s="54"/>
    </row>
    <row r="64" spans="1:15" s="48" customFormat="1" ht="42" customHeight="1">
      <c r="A64" s="49">
        <f>SUBTOTAL(3,$B$11:$B64)</f>
        <v>54</v>
      </c>
      <c r="B64" s="42" t="s">
        <v>339</v>
      </c>
      <c r="C64" s="42" t="s">
        <v>340</v>
      </c>
      <c r="D64" s="53" t="s">
        <v>183</v>
      </c>
      <c r="E64" s="42" t="s">
        <v>14</v>
      </c>
      <c r="F64" s="53" t="s">
        <v>71</v>
      </c>
      <c r="G64" s="53" t="s">
        <v>193</v>
      </c>
      <c r="H64" s="53" t="s">
        <v>194</v>
      </c>
      <c r="I64" s="53" t="s">
        <v>195</v>
      </c>
      <c r="J64" s="53">
        <v>50</v>
      </c>
      <c r="K64" s="45">
        <f t="shared" si="0"/>
        <v>2000</v>
      </c>
      <c r="L64" s="56">
        <v>34701</v>
      </c>
      <c r="M64" s="56">
        <v>34701</v>
      </c>
      <c r="N64" s="54"/>
      <c r="O64" s="54"/>
    </row>
    <row r="65" spans="1:15" s="48" customFormat="1" ht="42" customHeight="1">
      <c r="A65" s="49">
        <f>SUBTOTAL(3,$B$11:$B65)</f>
        <v>55</v>
      </c>
      <c r="B65" s="42" t="s">
        <v>339</v>
      </c>
      <c r="C65" s="42" t="s">
        <v>340</v>
      </c>
      <c r="D65" s="53" t="s">
        <v>183</v>
      </c>
      <c r="E65" s="42" t="s">
        <v>14</v>
      </c>
      <c r="F65" s="53" t="s">
        <v>71</v>
      </c>
      <c r="G65" s="53" t="s">
        <v>196</v>
      </c>
      <c r="H65" s="53" t="s">
        <v>197</v>
      </c>
      <c r="I65" s="53" t="s">
        <v>198</v>
      </c>
      <c r="J65" s="53">
        <v>84</v>
      </c>
      <c r="K65" s="45">
        <f t="shared" si="0"/>
        <v>3360</v>
      </c>
      <c r="L65" s="56">
        <v>38666</v>
      </c>
      <c r="M65" s="56">
        <v>38666</v>
      </c>
      <c r="N65" s="54"/>
      <c r="O65" s="54"/>
    </row>
    <row r="66" spans="1:15" s="48" customFormat="1" ht="42" customHeight="1">
      <c r="A66" s="49">
        <f>SUBTOTAL(3,$B$11:$B66)</f>
        <v>56</v>
      </c>
      <c r="B66" s="42" t="s">
        <v>339</v>
      </c>
      <c r="C66" s="42" t="s">
        <v>340</v>
      </c>
      <c r="D66" s="53" t="s">
        <v>199</v>
      </c>
      <c r="E66" s="42" t="s">
        <v>14</v>
      </c>
      <c r="F66" s="53" t="s">
        <v>71</v>
      </c>
      <c r="G66" s="53" t="s">
        <v>200</v>
      </c>
      <c r="H66" s="53" t="s">
        <v>201</v>
      </c>
      <c r="I66" s="53" t="s">
        <v>202</v>
      </c>
      <c r="J66" s="53">
        <v>25</v>
      </c>
      <c r="K66" s="45">
        <f t="shared" si="0"/>
        <v>1000</v>
      </c>
      <c r="L66" s="56">
        <v>31778</v>
      </c>
      <c r="M66" s="56">
        <v>31778</v>
      </c>
      <c r="N66" s="54"/>
      <c r="O66" s="54"/>
    </row>
    <row r="67" spans="1:15" s="48" customFormat="1" ht="42" customHeight="1">
      <c r="A67" s="49">
        <f>SUBTOTAL(3,$B$11:$B67)</f>
        <v>57</v>
      </c>
      <c r="B67" s="42" t="s">
        <v>388</v>
      </c>
      <c r="C67" s="42" t="s">
        <v>389</v>
      </c>
      <c r="D67" s="53" t="s">
        <v>199</v>
      </c>
      <c r="E67" s="42" t="s">
        <v>14</v>
      </c>
      <c r="F67" s="53" t="s">
        <v>71</v>
      </c>
      <c r="G67" s="53" t="s">
        <v>203</v>
      </c>
      <c r="H67" s="53" t="s">
        <v>204</v>
      </c>
      <c r="I67" s="53" t="s">
        <v>205</v>
      </c>
      <c r="J67" s="53">
        <v>20</v>
      </c>
      <c r="K67" s="45">
        <f t="shared" si="0"/>
        <v>800</v>
      </c>
      <c r="L67" s="56">
        <v>32874</v>
      </c>
      <c r="M67" s="56">
        <v>32874</v>
      </c>
      <c r="N67" s="54"/>
      <c r="O67" s="54"/>
    </row>
    <row r="68" spans="1:15" s="48" customFormat="1" ht="42" customHeight="1">
      <c r="A68" s="49">
        <f>SUBTOTAL(3,$B$11:$B68)</f>
        <v>58</v>
      </c>
      <c r="B68" s="42" t="s">
        <v>394</v>
      </c>
      <c r="C68" s="42" t="s">
        <v>395</v>
      </c>
      <c r="D68" s="53" t="s">
        <v>199</v>
      </c>
      <c r="E68" s="42" t="s">
        <v>14</v>
      </c>
      <c r="F68" s="42" t="s">
        <v>344</v>
      </c>
      <c r="G68" s="53" t="s">
        <v>206</v>
      </c>
      <c r="H68" s="53" t="s">
        <v>207</v>
      </c>
      <c r="I68" s="53" t="s">
        <v>208</v>
      </c>
      <c r="J68" s="53">
        <v>25</v>
      </c>
      <c r="K68" s="45">
        <f t="shared" si="0"/>
        <v>1000</v>
      </c>
      <c r="L68" s="56">
        <v>38689</v>
      </c>
      <c r="M68" s="56">
        <v>38689</v>
      </c>
      <c r="N68" s="54"/>
      <c r="O68" s="54"/>
    </row>
    <row r="69" spans="1:15" s="48" customFormat="1" ht="42" customHeight="1">
      <c r="A69" s="49">
        <f>SUBTOTAL(3,$B$11:$B69)</f>
        <v>59</v>
      </c>
      <c r="B69" s="42" t="s">
        <v>396</v>
      </c>
      <c r="C69" s="42" t="s">
        <v>397</v>
      </c>
      <c r="D69" s="53" t="s">
        <v>199</v>
      </c>
      <c r="E69" s="42" t="s">
        <v>14</v>
      </c>
      <c r="F69" s="42" t="s">
        <v>344</v>
      </c>
      <c r="G69" s="53" t="s">
        <v>209</v>
      </c>
      <c r="H69" s="53" t="s">
        <v>210</v>
      </c>
      <c r="I69" s="53" t="s">
        <v>211</v>
      </c>
      <c r="J69" s="53">
        <v>20</v>
      </c>
      <c r="K69" s="45">
        <f t="shared" si="0"/>
        <v>800</v>
      </c>
      <c r="L69" s="56">
        <v>32510</v>
      </c>
      <c r="M69" s="56">
        <v>32510</v>
      </c>
      <c r="N69" s="54"/>
      <c r="O69" s="54"/>
    </row>
    <row r="70" spans="1:15" s="48" customFormat="1" ht="42" customHeight="1">
      <c r="A70" s="49">
        <f>SUBTOTAL(3,$B$11:$B70)</f>
        <v>60</v>
      </c>
      <c r="B70" s="42" t="s">
        <v>398</v>
      </c>
      <c r="C70" s="42" t="s">
        <v>399</v>
      </c>
      <c r="D70" s="53" t="s">
        <v>199</v>
      </c>
      <c r="E70" s="42" t="s">
        <v>14</v>
      </c>
      <c r="F70" s="42" t="s">
        <v>344</v>
      </c>
      <c r="G70" s="53" t="s">
        <v>212</v>
      </c>
      <c r="H70" s="53" t="s">
        <v>213</v>
      </c>
      <c r="I70" s="53" t="s">
        <v>214</v>
      </c>
      <c r="J70" s="53">
        <v>20</v>
      </c>
      <c r="K70" s="45">
        <f t="shared" si="0"/>
        <v>800</v>
      </c>
      <c r="L70" s="56">
        <v>34337</v>
      </c>
      <c r="M70" s="56">
        <v>34337</v>
      </c>
      <c r="N70" s="54"/>
      <c r="O70" s="54"/>
    </row>
    <row r="71" spans="1:15" s="48" customFormat="1" ht="42" customHeight="1">
      <c r="A71" s="49">
        <f>SUBTOTAL(3,$B$11:$B71)</f>
        <v>61</v>
      </c>
      <c r="B71" s="42" t="s">
        <v>339</v>
      </c>
      <c r="C71" s="42" t="s">
        <v>340</v>
      </c>
      <c r="D71" s="53" t="s">
        <v>199</v>
      </c>
      <c r="E71" s="42" t="s">
        <v>14</v>
      </c>
      <c r="F71" s="53" t="s">
        <v>71</v>
      </c>
      <c r="G71" s="53" t="s">
        <v>215</v>
      </c>
      <c r="H71" s="53" t="s">
        <v>216</v>
      </c>
      <c r="I71" s="53" t="s">
        <v>217</v>
      </c>
      <c r="J71" s="53">
        <v>30</v>
      </c>
      <c r="K71" s="45">
        <f t="shared" si="0"/>
        <v>1200</v>
      </c>
      <c r="L71" s="56">
        <v>34337</v>
      </c>
      <c r="M71" s="56">
        <v>34337</v>
      </c>
      <c r="N71" s="54"/>
      <c r="O71" s="54"/>
    </row>
    <row r="72" spans="1:15" s="48" customFormat="1" ht="42" customHeight="1">
      <c r="A72" s="49">
        <f>SUBTOTAL(3,$B$11:$B72)</f>
        <v>62</v>
      </c>
      <c r="B72" s="42" t="s">
        <v>400</v>
      </c>
      <c r="C72" s="42" t="s">
        <v>401</v>
      </c>
      <c r="D72" s="53" t="s">
        <v>199</v>
      </c>
      <c r="E72" s="42" t="s">
        <v>14</v>
      </c>
      <c r="F72" s="53" t="s">
        <v>71</v>
      </c>
      <c r="G72" s="53" t="s">
        <v>218</v>
      </c>
      <c r="H72" s="53" t="s">
        <v>219</v>
      </c>
      <c r="I72" s="53" t="s">
        <v>220</v>
      </c>
      <c r="J72" s="53">
        <v>20</v>
      </c>
      <c r="K72" s="45">
        <f t="shared" si="0"/>
        <v>800</v>
      </c>
      <c r="L72" s="56">
        <v>38689</v>
      </c>
      <c r="M72" s="56">
        <v>38689</v>
      </c>
      <c r="N72" s="54"/>
      <c r="O72" s="54"/>
    </row>
    <row r="73" spans="1:15" s="48" customFormat="1" ht="42" customHeight="1">
      <c r="A73" s="49">
        <f>SUBTOTAL(3,$B$11:$B73)</f>
        <v>63</v>
      </c>
      <c r="B73" s="42" t="s">
        <v>402</v>
      </c>
      <c r="C73" s="42" t="s">
        <v>403</v>
      </c>
      <c r="D73" s="53" t="s">
        <v>199</v>
      </c>
      <c r="E73" s="42" t="s">
        <v>14</v>
      </c>
      <c r="F73" s="53" t="s">
        <v>71</v>
      </c>
      <c r="G73" s="53" t="s">
        <v>221</v>
      </c>
      <c r="H73" s="53" t="s">
        <v>222</v>
      </c>
      <c r="I73" s="53" t="s">
        <v>223</v>
      </c>
      <c r="J73" s="53">
        <v>20</v>
      </c>
      <c r="K73" s="45">
        <f t="shared" si="0"/>
        <v>800</v>
      </c>
      <c r="L73" s="56">
        <v>31778</v>
      </c>
      <c r="M73" s="56">
        <v>31778</v>
      </c>
      <c r="N73" s="54"/>
      <c r="O73" s="54"/>
    </row>
    <row r="74" spans="1:15" s="48" customFormat="1" ht="42" customHeight="1">
      <c r="A74" s="49">
        <f>SUBTOTAL(3,$B$11:$B74)</f>
        <v>64</v>
      </c>
      <c r="B74" s="42" t="s">
        <v>339</v>
      </c>
      <c r="C74" s="42" t="s">
        <v>340</v>
      </c>
      <c r="D74" s="53" t="s">
        <v>199</v>
      </c>
      <c r="E74" s="42" t="s">
        <v>14</v>
      </c>
      <c r="F74" s="53" t="s">
        <v>71</v>
      </c>
      <c r="G74" s="53" t="s">
        <v>224</v>
      </c>
      <c r="H74" s="53" t="s">
        <v>225</v>
      </c>
      <c r="I74" s="53" t="s">
        <v>226</v>
      </c>
      <c r="J74" s="53">
        <v>20</v>
      </c>
      <c r="K74" s="45">
        <f t="shared" si="0"/>
        <v>800</v>
      </c>
      <c r="L74" s="56">
        <v>32510</v>
      </c>
      <c r="M74" s="56">
        <v>32510</v>
      </c>
      <c r="N74" s="54"/>
      <c r="O74" s="54"/>
    </row>
    <row r="75" spans="1:15" s="48" customFormat="1" ht="42" customHeight="1">
      <c r="A75" s="49">
        <f>SUBTOTAL(3,$B$11:$B75)</f>
        <v>65</v>
      </c>
      <c r="B75" s="42" t="s">
        <v>404</v>
      </c>
      <c r="C75" s="42" t="s">
        <v>405</v>
      </c>
      <c r="D75" s="53" t="s">
        <v>199</v>
      </c>
      <c r="E75" s="42" t="s">
        <v>14</v>
      </c>
      <c r="F75" s="53" t="s">
        <v>71</v>
      </c>
      <c r="G75" s="53" t="s">
        <v>227</v>
      </c>
      <c r="H75" s="53" t="s">
        <v>228</v>
      </c>
      <c r="I75" s="53" t="s">
        <v>229</v>
      </c>
      <c r="J75" s="53">
        <v>25</v>
      </c>
      <c r="K75" s="45">
        <f t="shared" si="0"/>
        <v>1000</v>
      </c>
      <c r="L75" s="56">
        <v>32510</v>
      </c>
      <c r="M75" s="56">
        <v>32510</v>
      </c>
      <c r="N75" s="54"/>
      <c r="O75" s="54"/>
    </row>
    <row r="76" spans="1:15" s="48" customFormat="1" ht="42" customHeight="1">
      <c r="A76" s="49">
        <f>SUBTOTAL(3,$B$11:$B76)</f>
        <v>66</v>
      </c>
      <c r="B76" s="42" t="s">
        <v>406</v>
      </c>
      <c r="C76" s="42" t="s">
        <v>407</v>
      </c>
      <c r="D76" s="53" t="s">
        <v>199</v>
      </c>
      <c r="E76" s="42" t="s">
        <v>14</v>
      </c>
      <c r="F76" s="42" t="s">
        <v>344</v>
      </c>
      <c r="G76" s="53" t="s">
        <v>230</v>
      </c>
      <c r="H76" s="53" t="s">
        <v>231</v>
      </c>
      <c r="I76" s="53" t="s">
        <v>232</v>
      </c>
      <c r="J76" s="53">
        <v>20</v>
      </c>
      <c r="K76" s="45">
        <f t="shared" si="0"/>
        <v>800</v>
      </c>
      <c r="L76" s="56">
        <v>29587</v>
      </c>
      <c r="M76" s="56">
        <v>29587</v>
      </c>
      <c r="N76" s="54"/>
      <c r="O76" s="54"/>
    </row>
    <row r="77" spans="1:15" s="48" customFormat="1" ht="42" customHeight="1">
      <c r="A77" s="49">
        <f>SUBTOTAL(3,$B$11:$B77)</f>
        <v>67</v>
      </c>
      <c r="B77" s="42" t="s">
        <v>408</v>
      </c>
      <c r="C77" s="42" t="s">
        <v>409</v>
      </c>
      <c r="D77" s="53" t="s">
        <v>199</v>
      </c>
      <c r="E77" s="42" t="s">
        <v>14</v>
      </c>
      <c r="F77" s="42" t="s">
        <v>344</v>
      </c>
      <c r="G77" s="53" t="s">
        <v>233</v>
      </c>
      <c r="H77" s="53" t="s">
        <v>234</v>
      </c>
      <c r="I77" s="53" t="s">
        <v>235</v>
      </c>
      <c r="J77" s="53">
        <v>20</v>
      </c>
      <c r="K77" s="45">
        <f t="shared" si="0"/>
        <v>800</v>
      </c>
      <c r="L77" s="56">
        <v>31778</v>
      </c>
      <c r="M77" s="56">
        <v>31778</v>
      </c>
      <c r="N77" s="54"/>
      <c r="O77" s="54"/>
    </row>
    <row r="78" spans="1:15" s="48" customFormat="1" ht="42" customHeight="1">
      <c r="A78" s="49">
        <f>SUBTOTAL(3,$B$11:$B78)</f>
        <v>68</v>
      </c>
      <c r="B78" s="42" t="s">
        <v>410</v>
      </c>
      <c r="C78" s="42" t="s">
        <v>411</v>
      </c>
      <c r="D78" s="53" t="s">
        <v>199</v>
      </c>
      <c r="E78" s="42" t="s">
        <v>14</v>
      </c>
      <c r="F78" s="42" t="s">
        <v>344</v>
      </c>
      <c r="G78" s="53" t="s">
        <v>236</v>
      </c>
      <c r="H78" s="53" t="s">
        <v>237</v>
      </c>
      <c r="I78" s="53" t="s">
        <v>238</v>
      </c>
      <c r="J78" s="53">
        <v>20</v>
      </c>
      <c r="K78" s="45">
        <f t="shared" si="0"/>
        <v>800</v>
      </c>
      <c r="L78" s="56">
        <v>32143</v>
      </c>
      <c r="M78" s="56">
        <v>32143</v>
      </c>
      <c r="N78" s="54"/>
      <c r="O78" s="54"/>
    </row>
    <row r="79" spans="1:15" s="48" customFormat="1" ht="42" customHeight="1">
      <c r="A79" s="49">
        <f>SUBTOTAL(3,$B$11:$B79)</f>
        <v>69</v>
      </c>
      <c r="B79" s="42" t="s">
        <v>339</v>
      </c>
      <c r="C79" s="42" t="s">
        <v>340</v>
      </c>
      <c r="D79" s="53" t="s">
        <v>199</v>
      </c>
      <c r="E79" s="42" t="s">
        <v>14</v>
      </c>
      <c r="F79" s="53" t="s">
        <v>71</v>
      </c>
      <c r="G79" s="53" t="s">
        <v>239</v>
      </c>
      <c r="H79" s="53" t="s">
        <v>240</v>
      </c>
      <c r="I79" s="53" t="s">
        <v>241</v>
      </c>
      <c r="J79" s="53">
        <v>25</v>
      </c>
      <c r="K79" s="45">
        <f t="shared" si="0"/>
        <v>1000</v>
      </c>
      <c r="L79" s="56">
        <v>38666</v>
      </c>
      <c r="M79" s="56">
        <v>38666</v>
      </c>
      <c r="N79" s="54"/>
      <c r="O79" s="54"/>
    </row>
    <row r="80" spans="1:15" s="48" customFormat="1" ht="42" customHeight="1">
      <c r="A80" s="49">
        <f>SUBTOTAL(3,$B$11:$B80)</f>
        <v>70</v>
      </c>
      <c r="B80" s="42" t="s">
        <v>375</v>
      </c>
      <c r="C80" s="42" t="s">
        <v>376</v>
      </c>
      <c r="D80" s="53" t="s">
        <v>199</v>
      </c>
      <c r="E80" s="42" t="s">
        <v>14</v>
      </c>
      <c r="F80" s="53" t="s">
        <v>71</v>
      </c>
      <c r="G80" s="53" t="s">
        <v>242</v>
      </c>
      <c r="H80" s="53" t="s">
        <v>243</v>
      </c>
      <c r="I80" s="53" t="s">
        <v>244</v>
      </c>
      <c r="J80" s="53">
        <v>25</v>
      </c>
      <c r="K80" s="45">
        <f t="shared" ref="K80:K100" si="1">J80/0.025</f>
        <v>1000</v>
      </c>
      <c r="L80" s="56">
        <v>38666</v>
      </c>
      <c r="M80" s="56">
        <v>38666</v>
      </c>
      <c r="N80" s="54"/>
      <c r="O80" s="54"/>
    </row>
    <row r="81" spans="1:15" s="48" customFormat="1" ht="42" customHeight="1">
      <c r="A81" s="49">
        <f>SUBTOTAL(3,$B$11:$B81)</f>
        <v>71</v>
      </c>
      <c r="B81" s="42" t="s">
        <v>412</v>
      </c>
      <c r="C81" s="42" t="s">
        <v>413</v>
      </c>
      <c r="D81" s="53" t="s">
        <v>245</v>
      </c>
      <c r="E81" s="42" t="s">
        <v>14</v>
      </c>
      <c r="F81" s="53" t="s">
        <v>71</v>
      </c>
      <c r="G81" s="53" t="s">
        <v>246</v>
      </c>
      <c r="H81" s="53" t="s">
        <v>247</v>
      </c>
      <c r="I81" s="53" t="s">
        <v>248</v>
      </c>
      <c r="J81" s="53">
        <v>50</v>
      </c>
      <c r="K81" s="45">
        <f t="shared" si="1"/>
        <v>2000</v>
      </c>
      <c r="L81" s="56">
        <v>38666</v>
      </c>
      <c r="M81" s="56">
        <v>38666</v>
      </c>
      <c r="N81" s="54"/>
      <c r="O81" s="54"/>
    </row>
    <row r="82" spans="1:15" s="48" customFormat="1" ht="42" customHeight="1">
      <c r="A82" s="49">
        <f>SUBTOTAL(3,$B$11:$B82)</f>
        <v>72</v>
      </c>
      <c r="B82" s="42" t="s">
        <v>339</v>
      </c>
      <c r="C82" s="42" t="s">
        <v>340</v>
      </c>
      <c r="D82" s="53" t="s">
        <v>245</v>
      </c>
      <c r="E82" s="42" t="s">
        <v>14</v>
      </c>
      <c r="F82" s="42" t="s">
        <v>344</v>
      </c>
      <c r="G82" s="53" t="s">
        <v>249</v>
      </c>
      <c r="H82" s="53" t="s">
        <v>250</v>
      </c>
      <c r="I82" s="53" t="s">
        <v>251</v>
      </c>
      <c r="J82" s="53">
        <v>86</v>
      </c>
      <c r="K82" s="45">
        <f t="shared" si="1"/>
        <v>3440</v>
      </c>
      <c r="L82" s="56">
        <v>35398</v>
      </c>
      <c r="M82" s="56">
        <v>35398</v>
      </c>
      <c r="N82" s="54"/>
      <c r="O82" s="54"/>
    </row>
    <row r="83" spans="1:15" s="48" customFormat="1" ht="42" customHeight="1">
      <c r="A83" s="49">
        <f>SUBTOTAL(3,$B$11:$B83)</f>
        <v>73</v>
      </c>
      <c r="B83" s="42" t="s">
        <v>339</v>
      </c>
      <c r="C83" s="42" t="s">
        <v>340</v>
      </c>
      <c r="D83" s="53" t="s">
        <v>245</v>
      </c>
      <c r="E83" s="42" t="s">
        <v>14</v>
      </c>
      <c r="F83" s="53" t="s">
        <v>71</v>
      </c>
      <c r="G83" s="53" t="s">
        <v>252</v>
      </c>
      <c r="H83" s="53" t="s">
        <v>253</v>
      </c>
      <c r="I83" s="53" t="s">
        <v>254</v>
      </c>
      <c r="J83" s="53">
        <v>75</v>
      </c>
      <c r="K83" s="45">
        <f t="shared" si="1"/>
        <v>3000</v>
      </c>
      <c r="L83" s="56">
        <v>38252</v>
      </c>
      <c r="M83" s="56">
        <v>38252</v>
      </c>
      <c r="N83" s="54"/>
      <c r="O83" s="54"/>
    </row>
    <row r="84" spans="1:15" s="48" customFormat="1" ht="42" customHeight="1">
      <c r="A84" s="49">
        <f>SUBTOTAL(3,$B$11:$B84)</f>
        <v>74</v>
      </c>
      <c r="B84" s="42" t="s">
        <v>339</v>
      </c>
      <c r="C84" s="42" t="s">
        <v>340</v>
      </c>
      <c r="D84" s="53" t="s">
        <v>245</v>
      </c>
      <c r="E84" s="42" t="s">
        <v>14</v>
      </c>
      <c r="F84" s="53" t="s">
        <v>71</v>
      </c>
      <c r="G84" s="53" t="s">
        <v>255</v>
      </c>
      <c r="H84" s="53" t="s">
        <v>256</v>
      </c>
      <c r="I84" s="53" t="s">
        <v>257</v>
      </c>
      <c r="J84" s="53">
        <v>59</v>
      </c>
      <c r="K84" s="45">
        <f t="shared" si="1"/>
        <v>2360</v>
      </c>
      <c r="L84" s="56">
        <v>38975</v>
      </c>
      <c r="M84" s="56">
        <v>38975</v>
      </c>
      <c r="N84" s="54"/>
      <c r="O84" s="54"/>
    </row>
    <row r="85" spans="1:15" s="48" customFormat="1" ht="42" customHeight="1">
      <c r="A85" s="49">
        <f>SUBTOTAL(3,$B$11:$B85)</f>
        <v>75</v>
      </c>
      <c r="B85" s="42" t="s">
        <v>339</v>
      </c>
      <c r="C85" s="42" t="s">
        <v>340</v>
      </c>
      <c r="D85" s="53" t="s">
        <v>258</v>
      </c>
      <c r="E85" s="42" t="s">
        <v>14</v>
      </c>
      <c r="F85" s="53" t="s">
        <v>71</v>
      </c>
      <c r="G85" s="53" t="s">
        <v>259</v>
      </c>
      <c r="H85" s="53" t="s">
        <v>260</v>
      </c>
      <c r="I85" s="53" t="s">
        <v>261</v>
      </c>
      <c r="J85" s="53">
        <v>150</v>
      </c>
      <c r="K85" s="45">
        <f t="shared" si="1"/>
        <v>6000</v>
      </c>
      <c r="L85" s="56">
        <v>38674</v>
      </c>
      <c r="M85" s="56">
        <v>38674</v>
      </c>
      <c r="N85" s="54"/>
      <c r="O85" s="54"/>
    </row>
    <row r="86" spans="1:15" s="48" customFormat="1" ht="42" customHeight="1">
      <c r="A86" s="49">
        <f>SUBTOTAL(3,$B$11:$B86)</f>
        <v>76</v>
      </c>
      <c r="B86" s="42" t="s">
        <v>339</v>
      </c>
      <c r="C86" s="42" t="s">
        <v>340</v>
      </c>
      <c r="D86" s="53" t="s">
        <v>258</v>
      </c>
      <c r="E86" s="42" t="s">
        <v>14</v>
      </c>
      <c r="F86" s="53" t="s">
        <v>71</v>
      </c>
      <c r="G86" s="53" t="s">
        <v>262</v>
      </c>
      <c r="H86" s="53" t="s">
        <v>263</v>
      </c>
      <c r="I86" s="53" t="s">
        <v>264</v>
      </c>
      <c r="J86" s="53">
        <v>67</v>
      </c>
      <c r="K86" s="45">
        <f t="shared" si="1"/>
        <v>2680</v>
      </c>
      <c r="L86" s="56">
        <v>37907</v>
      </c>
      <c r="M86" s="56">
        <v>37907</v>
      </c>
      <c r="N86" s="54"/>
      <c r="O86" s="54"/>
    </row>
    <row r="87" spans="1:15" s="48" customFormat="1" ht="42" customHeight="1">
      <c r="A87" s="49">
        <f>SUBTOTAL(3,$B$11:$B87)</f>
        <v>77</v>
      </c>
      <c r="B87" s="42" t="s">
        <v>339</v>
      </c>
      <c r="C87" s="42" t="s">
        <v>340</v>
      </c>
      <c r="D87" s="53" t="s">
        <v>258</v>
      </c>
      <c r="E87" s="42" t="s">
        <v>14</v>
      </c>
      <c r="F87" s="53" t="s">
        <v>71</v>
      </c>
      <c r="G87" s="53" t="s">
        <v>265</v>
      </c>
      <c r="H87" s="53" t="s">
        <v>266</v>
      </c>
      <c r="I87" s="53" t="s">
        <v>267</v>
      </c>
      <c r="J87" s="53">
        <v>50</v>
      </c>
      <c r="K87" s="45">
        <f t="shared" si="1"/>
        <v>2000</v>
      </c>
      <c r="L87" s="56">
        <v>34701</v>
      </c>
      <c r="M87" s="56">
        <v>34701</v>
      </c>
      <c r="N87" s="54"/>
      <c r="O87" s="54"/>
    </row>
    <row r="88" spans="1:15" s="48" customFormat="1" ht="42" customHeight="1">
      <c r="A88" s="49">
        <f>SUBTOTAL(3,$B$11:$B88)</f>
        <v>78</v>
      </c>
      <c r="B88" s="42" t="s">
        <v>414</v>
      </c>
      <c r="C88" s="42" t="s">
        <v>415</v>
      </c>
      <c r="D88" s="53" t="s">
        <v>258</v>
      </c>
      <c r="E88" s="42" t="s">
        <v>14</v>
      </c>
      <c r="F88" s="53" t="s">
        <v>71</v>
      </c>
      <c r="G88" s="53" t="s">
        <v>268</v>
      </c>
      <c r="H88" s="53" t="s">
        <v>269</v>
      </c>
      <c r="I88" s="53" t="s">
        <v>270</v>
      </c>
      <c r="J88" s="53">
        <v>80</v>
      </c>
      <c r="K88" s="45">
        <f t="shared" si="1"/>
        <v>3200</v>
      </c>
      <c r="L88" s="56">
        <v>39051</v>
      </c>
      <c r="M88" s="56">
        <v>39051</v>
      </c>
      <c r="N88" s="54"/>
      <c r="O88" s="54"/>
    </row>
    <row r="89" spans="1:15" s="48" customFormat="1" ht="42" customHeight="1">
      <c r="A89" s="49">
        <f>SUBTOTAL(3,$B$11:$B89)</f>
        <v>79</v>
      </c>
      <c r="B89" s="42" t="s">
        <v>416</v>
      </c>
      <c r="C89" s="42" t="s">
        <v>417</v>
      </c>
      <c r="D89" s="53" t="s">
        <v>271</v>
      </c>
      <c r="E89" s="42" t="s">
        <v>14</v>
      </c>
      <c r="F89" s="53" t="s">
        <v>71</v>
      </c>
      <c r="G89" s="53" t="s">
        <v>272</v>
      </c>
      <c r="H89" s="53" t="s">
        <v>273</v>
      </c>
      <c r="I89" s="53" t="s">
        <v>418</v>
      </c>
      <c r="J89" s="53">
        <v>50</v>
      </c>
      <c r="K89" s="45">
        <f t="shared" si="1"/>
        <v>2000</v>
      </c>
      <c r="L89" s="56">
        <v>35160</v>
      </c>
      <c r="M89" s="56">
        <v>35160</v>
      </c>
      <c r="N89" s="54"/>
      <c r="O89" s="54"/>
    </row>
    <row r="90" spans="1:15" s="48" customFormat="1" ht="42" customHeight="1">
      <c r="A90" s="49">
        <f>SUBTOTAL(3,$B$11:$B90)</f>
        <v>80</v>
      </c>
      <c r="B90" s="42" t="s">
        <v>339</v>
      </c>
      <c r="C90" s="42" t="s">
        <v>340</v>
      </c>
      <c r="D90" s="53" t="s">
        <v>271</v>
      </c>
      <c r="E90" s="42" t="s">
        <v>14</v>
      </c>
      <c r="F90" s="42" t="s">
        <v>344</v>
      </c>
      <c r="G90" s="53" t="s">
        <v>274</v>
      </c>
      <c r="H90" s="53" t="s">
        <v>275</v>
      </c>
      <c r="I90" s="53" t="s">
        <v>276</v>
      </c>
      <c r="J90" s="53">
        <v>150</v>
      </c>
      <c r="K90" s="45">
        <f t="shared" si="1"/>
        <v>6000</v>
      </c>
      <c r="L90" s="56">
        <v>35433</v>
      </c>
      <c r="M90" s="56">
        <v>35433</v>
      </c>
      <c r="N90" s="54"/>
      <c r="O90" s="54"/>
    </row>
    <row r="91" spans="1:15" s="48" customFormat="1" ht="42" customHeight="1">
      <c r="A91" s="49">
        <f>SUBTOTAL(3,$B$11:$B91)</f>
        <v>81</v>
      </c>
      <c r="B91" s="42" t="s">
        <v>339</v>
      </c>
      <c r="C91" s="42" t="s">
        <v>340</v>
      </c>
      <c r="D91" s="53" t="s">
        <v>271</v>
      </c>
      <c r="E91" s="42" t="s">
        <v>14</v>
      </c>
      <c r="F91" s="53" t="s">
        <v>71</v>
      </c>
      <c r="G91" s="53" t="s">
        <v>277</v>
      </c>
      <c r="H91" s="53" t="s">
        <v>278</v>
      </c>
      <c r="I91" s="53" t="s">
        <v>279</v>
      </c>
      <c r="J91" s="53">
        <v>40</v>
      </c>
      <c r="K91" s="45">
        <f t="shared" si="1"/>
        <v>1600</v>
      </c>
      <c r="L91" s="56">
        <v>38490</v>
      </c>
      <c r="M91" s="56">
        <v>38490</v>
      </c>
      <c r="N91" s="54"/>
      <c r="O91" s="54"/>
    </row>
    <row r="92" spans="1:15" s="48" customFormat="1" ht="42" customHeight="1">
      <c r="A92" s="49">
        <f>SUBTOTAL(3,$B$11:$B92)</f>
        <v>82</v>
      </c>
      <c r="B92" s="42" t="s">
        <v>419</v>
      </c>
      <c r="C92" s="42" t="s">
        <v>420</v>
      </c>
      <c r="D92" s="53" t="s">
        <v>271</v>
      </c>
      <c r="E92" s="42" t="s">
        <v>14</v>
      </c>
      <c r="F92" s="53" t="s">
        <v>71</v>
      </c>
      <c r="G92" s="53" t="s">
        <v>280</v>
      </c>
      <c r="H92" s="53" t="s">
        <v>281</v>
      </c>
      <c r="I92" s="53" t="s">
        <v>282</v>
      </c>
      <c r="J92" s="53">
        <v>40</v>
      </c>
      <c r="K92" s="45">
        <f t="shared" si="1"/>
        <v>1600</v>
      </c>
      <c r="L92" s="56">
        <v>39017</v>
      </c>
      <c r="M92" s="56">
        <v>39017</v>
      </c>
      <c r="N92" s="54"/>
      <c r="O92" s="54"/>
    </row>
    <row r="93" spans="1:15" s="48" customFormat="1" ht="42" customHeight="1">
      <c r="A93" s="49">
        <f>SUBTOTAL(3,$B$11:$B93)</f>
        <v>83</v>
      </c>
      <c r="B93" s="42" t="s">
        <v>421</v>
      </c>
      <c r="C93" s="42" t="s">
        <v>422</v>
      </c>
      <c r="D93" s="53" t="s">
        <v>271</v>
      </c>
      <c r="E93" s="42" t="s">
        <v>14</v>
      </c>
      <c r="F93" s="42" t="s">
        <v>344</v>
      </c>
      <c r="G93" s="53" t="s">
        <v>283</v>
      </c>
      <c r="H93" s="53" t="s">
        <v>284</v>
      </c>
      <c r="I93" s="53" t="s">
        <v>285</v>
      </c>
      <c r="J93" s="53">
        <v>65</v>
      </c>
      <c r="K93" s="45">
        <f t="shared" si="1"/>
        <v>2600</v>
      </c>
      <c r="L93" s="56">
        <v>40490</v>
      </c>
      <c r="M93" s="56">
        <v>40490</v>
      </c>
      <c r="N93" s="54"/>
      <c r="O93" s="54"/>
    </row>
    <row r="94" spans="1:15" s="48" customFormat="1" ht="42" customHeight="1">
      <c r="A94" s="49">
        <f>SUBTOTAL(3,$B$11:$B94)</f>
        <v>84</v>
      </c>
      <c r="B94" s="42" t="s">
        <v>423</v>
      </c>
      <c r="C94" s="42" t="s">
        <v>424</v>
      </c>
      <c r="D94" s="53" t="s">
        <v>271</v>
      </c>
      <c r="E94" s="42" t="s">
        <v>14</v>
      </c>
      <c r="F94" s="53" t="s">
        <v>71</v>
      </c>
      <c r="G94" s="53" t="s">
        <v>286</v>
      </c>
      <c r="H94" s="53" t="s">
        <v>287</v>
      </c>
      <c r="I94" s="53" t="s">
        <v>288</v>
      </c>
      <c r="J94" s="53">
        <v>30</v>
      </c>
      <c r="K94" s="45">
        <f t="shared" si="1"/>
        <v>1200</v>
      </c>
      <c r="L94" s="56">
        <v>39402</v>
      </c>
      <c r="M94" s="56">
        <v>39402</v>
      </c>
      <c r="N94" s="54"/>
      <c r="O94" s="54"/>
    </row>
    <row r="95" spans="1:15" s="48" customFormat="1" ht="42" customHeight="1">
      <c r="A95" s="49">
        <f>SUBTOTAL(3,$B$11:$B95)</f>
        <v>85</v>
      </c>
      <c r="B95" s="42" t="s">
        <v>425</v>
      </c>
      <c r="C95" s="42" t="s">
        <v>426</v>
      </c>
      <c r="D95" s="53" t="s">
        <v>271</v>
      </c>
      <c r="E95" s="42" t="s">
        <v>14</v>
      </c>
      <c r="F95" s="53" t="s">
        <v>71</v>
      </c>
      <c r="G95" s="53" t="s">
        <v>289</v>
      </c>
      <c r="H95" s="53" t="s">
        <v>290</v>
      </c>
      <c r="I95" s="53" t="s">
        <v>291</v>
      </c>
      <c r="J95" s="53">
        <v>65</v>
      </c>
      <c r="K95" s="45">
        <f t="shared" si="1"/>
        <v>2600</v>
      </c>
      <c r="L95" s="56">
        <v>38752</v>
      </c>
      <c r="M95" s="56">
        <v>38752</v>
      </c>
      <c r="N95" s="54"/>
      <c r="O95" s="54"/>
    </row>
    <row r="96" spans="1:15" s="48" customFormat="1" ht="42" customHeight="1">
      <c r="A96" s="49">
        <f>SUBTOTAL(3,$B$11:$B96)</f>
        <v>86</v>
      </c>
      <c r="B96" s="42" t="s">
        <v>427</v>
      </c>
      <c r="C96" s="42" t="s">
        <v>428</v>
      </c>
      <c r="D96" s="53" t="s">
        <v>429</v>
      </c>
      <c r="E96" s="42" t="s">
        <v>14</v>
      </c>
      <c r="F96" s="53" t="s">
        <v>430</v>
      </c>
      <c r="G96" s="53" t="s">
        <v>431</v>
      </c>
      <c r="H96" s="53" t="s">
        <v>432</v>
      </c>
      <c r="I96" s="53" t="s">
        <v>433</v>
      </c>
      <c r="J96" s="53">
        <v>88</v>
      </c>
      <c r="K96" s="45">
        <f t="shared" si="1"/>
        <v>3520</v>
      </c>
      <c r="L96" s="56">
        <v>39083</v>
      </c>
      <c r="M96" s="56">
        <v>39083</v>
      </c>
      <c r="N96" s="54"/>
      <c r="O96" s="54"/>
    </row>
    <row r="97" spans="1:15" s="48" customFormat="1" ht="42" customHeight="1">
      <c r="A97" s="49">
        <f>SUBTOTAL(3,$B$11:$B97)</f>
        <v>87</v>
      </c>
      <c r="B97" s="42" t="s">
        <v>339</v>
      </c>
      <c r="C97" s="42" t="s">
        <v>340</v>
      </c>
      <c r="D97" s="53" t="s">
        <v>292</v>
      </c>
      <c r="E97" s="42" t="s">
        <v>14</v>
      </c>
      <c r="F97" s="53" t="s">
        <v>71</v>
      </c>
      <c r="G97" s="53" t="s">
        <v>293</v>
      </c>
      <c r="H97" s="53" t="s">
        <v>294</v>
      </c>
      <c r="I97" s="53" t="s">
        <v>295</v>
      </c>
      <c r="J97" s="53">
        <v>45</v>
      </c>
      <c r="K97" s="45">
        <f t="shared" si="1"/>
        <v>1800</v>
      </c>
      <c r="L97" s="56">
        <v>39900</v>
      </c>
      <c r="M97" s="56">
        <v>39900</v>
      </c>
      <c r="N97" s="54"/>
      <c r="O97" s="54"/>
    </row>
    <row r="98" spans="1:15" s="48" customFormat="1" ht="42" customHeight="1">
      <c r="A98" s="49">
        <f>SUBTOTAL(3,$B$11:$B98)</f>
        <v>88</v>
      </c>
      <c r="B98" s="42" t="s">
        <v>339</v>
      </c>
      <c r="C98" s="42" t="s">
        <v>340</v>
      </c>
      <c r="D98" s="53" t="s">
        <v>296</v>
      </c>
      <c r="E98" s="42" t="s">
        <v>14</v>
      </c>
      <c r="F98" s="42" t="s">
        <v>344</v>
      </c>
      <c r="G98" s="53" t="s">
        <v>297</v>
      </c>
      <c r="H98" s="53" t="s">
        <v>298</v>
      </c>
      <c r="I98" s="53" t="s">
        <v>434</v>
      </c>
      <c r="J98" s="53">
        <v>70</v>
      </c>
      <c r="K98" s="45">
        <f t="shared" si="1"/>
        <v>2800</v>
      </c>
      <c r="L98" s="56">
        <v>35376</v>
      </c>
      <c r="M98" s="56">
        <v>35376</v>
      </c>
      <c r="N98" s="54"/>
      <c r="O98" s="54"/>
    </row>
    <row r="99" spans="1:15" s="48" customFormat="1" ht="42" customHeight="1">
      <c r="A99" s="49">
        <f>SUBTOTAL(3,$B$11:$B99)</f>
        <v>89</v>
      </c>
      <c r="B99" s="42" t="s">
        <v>339</v>
      </c>
      <c r="C99" s="42" t="s">
        <v>340</v>
      </c>
      <c r="D99" s="53" t="s">
        <v>296</v>
      </c>
      <c r="E99" s="42" t="s">
        <v>14</v>
      </c>
      <c r="F99" s="42" t="s">
        <v>344</v>
      </c>
      <c r="G99" s="53" t="s">
        <v>299</v>
      </c>
      <c r="H99" s="53" t="s">
        <v>300</v>
      </c>
      <c r="I99" s="53" t="s">
        <v>435</v>
      </c>
      <c r="J99" s="53">
        <v>86</v>
      </c>
      <c r="K99" s="45">
        <f t="shared" si="1"/>
        <v>3440</v>
      </c>
      <c r="L99" s="56" t="s">
        <v>436</v>
      </c>
      <c r="M99" s="56" t="s">
        <v>436</v>
      </c>
      <c r="N99" s="54"/>
      <c r="O99" s="54"/>
    </row>
    <row r="100" spans="1:15" s="48" customFormat="1" ht="42" customHeight="1">
      <c r="A100" s="49">
        <f>SUBTOTAL(3,$B$11:$B100)</f>
        <v>90</v>
      </c>
      <c r="B100" s="42" t="s">
        <v>339</v>
      </c>
      <c r="C100" s="42" t="s">
        <v>340</v>
      </c>
      <c r="D100" s="53" t="s">
        <v>296</v>
      </c>
      <c r="E100" s="42" t="s">
        <v>14</v>
      </c>
      <c r="F100" s="53" t="s">
        <v>71</v>
      </c>
      <c r="G100" s="53" t="s">
        <v>301</v>
      </c>
      <c r="H100" s="53" t="s">
        <v>302</v>
      </c>
      <c r="I100" s="53" t="s">
        <v>303</v>
      </c>
      <c r="J100" s="53">
        <v>30</v>
      </c>
      <c r="K100" s="45">
        <f t="shared" si="1"/>
        <v>1200</v>
      </c>
      <c r="L100" s="56">
        <v>39408</v>
      </c>
      <c r="M100" s="56">
        <v>39408</v>
      </c>
      <c r="N100" s="54"/>
      <c r="O100" s="54"/>
    </row>
  </sheetData>
  <autoFilter ref="A10:O100"/>
  <mergeCells count="2">
    <mergeCell ref="G9:K9"/>
    <mergeCell ref="L9:O9"/>
  </mergeCells>
  <phoneticPr fontId="3" type="noConversion"/>
  <dataValidations xWindow="411" yWindow="381" count="3">
    <dataValidation type="list" allowBlank="1" showInputMessage="1" showErrorMessage="1" errorTitle="음용수 또는 생활용수 만 입력가능" error="음용수 또는 생활용수 만 입력가능" promptTitle="음용수 또는 생활용수 만 입력가능" prompt="음용수 또는 생활용수 만 입력가능" sqref="F11:F100">
      <formula1>$E$4:$E$5</formula1>
    </dataValidation>
    <dataValidation type="list" allowBlank="1" showInputMessage="1" showErrorMessage="1" errorTitle="정부지원, 지자체, 공공용 만 입력할 수 있습니다." error="정부지원, 지자체, 공공용 만 입력할 수 있습니다." promptTitle="정부지원, 지자체, 공공용 만 입력할 수 있습니다." prompt="정부지원, 지자체, 공공용 만 입력할 수 있습니다." sqref="E11:E100">
      <formula1>$B$4:$B$6</formula1>
    </dataValidation>
    <dataValidation type="list" allowBlank="1" showInputMessage="1" showErrorMessage="1" errorTitle="신규구축, 폐공, 지정해제, 신규지정 만 입력" error="신규구축 : 정부지원 시설_x000a_폐공 : 정부지원 시설_x000a_지정해제 : 지자체, 공공용 시설_x000a_신규지정 : 지자체, 공공용 시설" promptTitle="신규구축, 폐공, 지정해제, 신규지정 만 입력" prompt="신규구축 : 정부지원 시설_x000a_폐공 : 정부지원 시설_x000a_지정해제 : 지자체, 공공용 시설_x000a_신규지정 : 지자체, 공공용 시설" sqref="O11:O100">
      <formula1>$O$3:$O$7</formula1>
    </dataValidation>
  </dataValidations>
  <pageMargins left="0.7" right="0.7" top="0.75" bottom="0.75" header="0.3" footer="0.3"/>
  <pageSetup paperSize="9" scale="4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전국 민방위 비상급수시설 통계현황</vt:lpstr>
      <vt:lpstr>전국 민방위 비상급수시설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2018-04-10T08:29:07Z</dcterms:modified>
</cp:coreProperties>
</file>