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0370" yWindow="-15" windowWidth="13905" windowHeight="13305" tabRatio="826" firstSheet="1" activeTab="1"/>
  </bookViews>
  <sheets>
    <sheet name="1P" sheetId="1" state="hidden" r:id="rId1"/>
    <sheet name="총괄표" sheetId="12" r:id="rId2"/>
    <sheet name="전기감리비" sheetId="6" state="hidden" r:id="rId3"/>
    <sheet name="공종별현황표" sheetId="4" r:id="rId4"/>
    <sheet name="예정공정표(건축)" sheetId="15" r:id="rId5"/>
    <sheet name="공종별현황표 (2)" sheetId="17" state="hidden" r:id="rId6"/>
    <sheet name="공종별현황표 (3)" sheetId="18" state="hidden" r:id="rId7"/>
    <sheet name="감리용역비내역서" sheetId="10" state="hidden" r:id="rId8"/>
  </sheets>
  <externalReferences>
    <externalReference r:id="rId9"/>
    <externalReference r:id="rId10"/>
  </externalReferences>
  <definedNames>
    <definedName name="_xlnm.Print_Area" localSheetId="3">공종별현황표!$A$1:$J$60</definedName>
    <definedName name="_xlnm.Print_Area" localSheetId="5">'공종별현황표 (2)'!$A$1:$BD$81</definedName>
    <definedName name="_xlnm.Print_Area" localSheetId="6">'공종별현황표 (3)'!$A$1:$BD$81</definedName>
    <definedName name="_xlnm.Print_Area" localSheetId="4">'예정공정표(건축)'!$A$1:$CQ$33</definedName>
    <definedName name="_xlnm.Print_Area" localSheetId="1">총괄표!$A$1:$G$35</definedName>
  </definedNames>
  <calcPr calcId="145621"/>
</workbook>
</file>

<file path=xl/calcChain.xml><?xml version="1.0" encoding="utf-8"?>
<calcChain xmlns="http://schemas.openxmlformats.org/spreadsheetml/2006/main">
  <c r="D18" i="12" l="1"/>
  <c r="G9" i="12" l="1"/>
  <c r="E54" i="4"/>
  <c r="E10" i="4"/>
  <c r="E8" i="4"/>
  <c r="F23" i="12" l="1"/>
  <c r="F20" i="12"/>
  <c r="F19" i="12"/>
  <c r="F18" i="12"/>
  <c r="F17" i="12"/>
  <c r="F16" i="12"/>
  <c r="F15" i="12"/>
  <c r="G22" i="12"/>
  <c r="CQ19" i="15" l="1"/>
  <c r="AC85" i="18" l="1"/>
  <c r="J83" i="18"/>
  <c r="P80" i="18"/>
  <c r="AZ79" i="18"/>
  <c r="AZ80" i="18" s="1"/>
  <c r="AY79" i="18"/>
  <c r="AY80" i="18" s="1"/>
  <c r="AR79" i="18"/>
  <c r="AH79" i="18"/>
  <c r="AF79" i="18"/>
  <c r="AF80" i="18" s="1"/>
  <c r="AB79" i="18"/>
  <c r="AB80" i="18" s="1"/>
  <c r="AA79" i="18"/>
  <c r="AA80" i="18" s="1"/>
  <c r="Z79" i="18"/>
  <c r="Z80" i="18" s="1"/>
  <c r="S79" i="18"/>
  <c r="S80" i="18" s="1"/>
  <c r="R79" i="18"/>
  <c r="R80" i="18" s="1"/>
  <c r="P79" i="18"/>
  <c r="AX78" i="18"/>
  <c r="AS78" i="18"/>
  <c r="AN78" i="18"/>
  <c r="AD78" i="18"/>
  <c r="Y78" i="18"/>
  <c r="AA85" i="18" s="1"/>
  <c r="T78" i="18"/>
  <c r="O78" i="18"/>
  <c r="G78" i="18"/>
  <c r="AX77" i="18"/>
  <c r="AS77" i="18"/>
  <c r="AN77" i="18"/>
  <c r="AD77" i="18"/>
  <c r="Y77" i="18"/>
  <c r="AC84" i="18" s="1"/>
  <c r="T77" i="18"/>
  <c r="O77" i="18"/>
  <c r="G77" i="18"/>
  <c r="BK76" i="18"/>
  <c r="BJ76" i="18"/>
  <c r="BB76" i="18"/>
  <c r="BB79" i="18" s="1"/>
  <c r="BB80" i="18" s="1"/>
  <c r="BA76" i="18"/>
  <c r="BA79" i="18" s="1"/>
  <c r="BA80" i="18" s="1"/>
  <c r="AZ76" i="18"/>
  <c r="AY76" i="18"/>
  <c r="AW76" i="18"/>
  <c r="AV76" i="18"/>
  <c r="AU76" i="18"/>
  <c r="AT76" i="18"/>
  <c r="AT79" i="18" s="1"/>
  <c r="AT80" i="18" s="1"/>
  <c r="AR76" i="18"/>
  <c r="AQ76" i="18"/>
  <c r="AP76" i="18"/>
  <c r="AO76" i="18"/>
  <c r="AO79" i="18" s="1"/>
  <c r="AO80" i="18" s="1"/>
  <c r="AH76" i="18"/>
  <c r="AG76" i="18"/>
  <c r="AG79" i="18" s="1"/>
  <c r="AG80" i="18" s="1"/>
  <c r="AF76" i="18"/>
  <c r="AE76" i="18"/>
  <c r="AE79" i="18" s="1"/>
  <c r="AE80" i="18" s="1"/>
  <c r="AC76" i="18"/>
  <c r="AB76" i="18"/>
  <c r="AA76" i="18"/>
  <c r="G76" i="18" s="1"/>
  <c r="Z76" i="18"/>
  <c r="X76" i="18"/>
  <c r="W76" i="18"/>
  <c r="V76" i="18"/>
  <c r="U76" i="18"/>
  <c r="U79" i="18" s="1"/>
  <c r="S76" i="18"/>
  <c r="R76" i="18"/>
  <c r="Q76" i="18"/>
  <c r="Q79" i="18" s="1"/>
  <c r="Q80" i="18" s="1"/>
  <c r="P76" i="18"/>
  <c r="N76" i="18"/>
  <c r="M76" i="18"/>
  <c r="M79" i="18" s="1"/>
  <c r="L76" i="18"/>
  <c r="K76" i="18"/>
  <c r="F76" i="18"/>
  <c r="AX75" i="18"/>
  <c r="AS75" i="18"/>
  <c r="AN75" i="18"/>
  <c r="AM75" i="18"/>
  <c r="AJ75" i="18" s="1"/>
  <c r="AD75" i="18"/>
  <c r="AD76" i="18" s="1"/>
  <c r="Y75" i="18"/>
  <c r="T75" i="18"/>
  <c r="O75" i="18"/>
  <c r="G75" i="18"/>
  <c r="AX74" i="18"/>
  <c r="AS74" i="18"/>
  <c r="AN74" i="18"/>
  <c r="AM74" i="18"/>
  <c r="AJ74" i="18"/>
  <c r="AD74" i="18"/>
  <c r="Y74" i="18"/>
  <c r="T74" i="18"/>
  <c r="T76" i="18" s="1"/>
  <c r="O74" i="18"/>
  <c r="F74" i="18"/>
  <c r="AX73" i="18"/>
  <c r="AX76" i="18" s="1"/>
  <c r="AS73" i="18"/>
  <c r="AS76" i="18" s="1"/>
  <c r="AN73" i="18"/>
  <c r="AN76" i="18" s="1"/>
  <c r="AM73" i="18"/>
  <c r="AJ73" i="18" s="1"/>
  <c r="AD73" i="18"/>
  <c r="Y73" i="18"/>
  <c r="T73" i="18"/>
  <c r="O73" i="18"/>
  <c r="O76" i="18" s="1"/>
  <c r="BM72" i="18"/>
  <c r="BM79" i="18" s="1"/>
  <c r="AX72" i="18"/>
  <c r="AW72" i="18"/>
  <c r="AV72" i="18"/>
  <c r="AU72" i="18"/>
  <c r="AR72" i="18"/>
  <c r="AQ72" i="18"/>
  <c r="AQ79" i="18" s="1"/>
  <c r="AQ80" i="18" s="1"/>
  <c r="AP72" i="18"/>
  <c r="AO72" i="18"/>
  <c r="AM72" i="18"/>
  <c r="AL72" i="18"/>
  <c r="AK72" i="18"/>
  <c r="AI72" i="18"/>
  <c r="AI76" i="18" s="1"/>
  <c r="X72" i="18"/>
  <c r="W72" i="18"/>
  <c r="V72" i="18"/>
  <c r="K72" i="18"/>
  <c r="G72" i="18"/>
  <c r="F72" i="18"/>
  <c r="BK71" i="18"/>
  <c r="AX71" i="18"/>
  <c r="AS71" i="18"/>
  <c r="AN71" i="18"/>
  <c r="AJ71" i="18"/>
  <c r="AD71" i="18"/>
  <c r="Y71" i="18"/>
  <c r="T71" i="18"/>
  <c r="O71" i="18"/>
  <c r="G71" i="18"/>
  <c r="F71" i="18"/>
  <c r="BK70" i="18"/>
  <c r="AX70" i="18"/>
  <c r="AS70" i="18"/>
  <c r="AN70" i="18"/>
  <c r="AN72" i="18" s="1"/>
  <c r="AJ70" i="18"/>
  <c r="AD70" i="18"/>
  <c r="Y70" i="18"/>
  <c r="T70" i="18"/>
  <c r="O70" i="18"/>
  <c r="G70" i="18"/>
  <c r="F70" i="18"/>
  <c r="BK69" i="18"/>
  <c r="AX69" i="18"/>
  <c r="AS69" i="18"/>
  <c r="AN69" i="18"/>
  <c r="AJ69" i="18"/>
  <c r="AD69" i="18"/>
  <c r="Y69" i="18"/>
  <c r="T69" i="18"/>
  <c r="O69" i="18"/>
  <c r="F69" i="18"/>
  <c r="BK68" i="18"/>
  <c r="AX68" i="18"/>
  <c r="AS68" i="18"/>
  <c r="AN68" i="18"/>
  <c r="AJ68" i="18"/>
  <c r="AD68" i="18"/>
  <c r="Y68" i="18"/>
  <c r="T68" i="18"/>
  <c r="O68" i="18"/>
  <c r="G68" i="18"/>
  <c r="BK67" i="18"/>
  <c r="AX67" i="18"/>
  <c r="AS67" i="18"/>
  <c r="AN67" i="18"/>
  <c r="AJ67" i="18"/>
  <c r="AD67" i="18"/>
  <c r="Y67" i="18"/>
  <c r="Y72" i="18" s="1"/>
  <c r="T67" i="18"/>
  <c r="O67" i="18"/>
  <c r="F67" i="18"/>
  <c r="BK66" i="18"/>
  <c r="AX66" i="18"/>
  <c r="AS66" i="18"/>
  <c r="AN66" i="18"/>
  <c r="AJ66" i="18"/>
  <c r="AD66" i="18"/>
  <c r="Y66" i="18"/>
  <c r="T66" i="18"/>
  <c r="O66" i="18"/>
  <c r="BK65" i="18"/>
  <c r="AX65" i="18"/>
  <c r="AS65" i="18"/>
  <c r="AN65" i="18"/>
  <c r="AJ65" i="18"/>
  <c r="AD65" i="18"/>
  <c r="Y65" i="18"/>
  <c r="T65" i="18"/>
  <c r="O65" i="18"/>
  <c r="BK64" i="18"/>
  <c r="AX64" i="18"/>
  <c r="AS64" i="18"/>
  <c r="AN64" i="18"/>
  <c r="AJ64" i="18"/>
  <c r="AD64" i="18"/>
  <c r="Y64" i="18"/>
  <c r="T64" i="18"/>
  <c r="O64" i="18"/>
  <c r="BK63" i="18"/>
  <c r="BK72" i="18" s="1"/>
  <c r="AX63" i="18"/>
  <c r="AS63" i="18"/>
  <c r="AS72" i="18" s="1"/>
  <c r="AN63" i="18"/>
  <c r="AJ63" i="18"/>
  <c r="AJ72" i="18" s="1"/>
  <c r="AD63" i="18"/>
  <c r="AD72" i="18" s="1"/>
  <c r="Y63" i="18"/>
  <c r="T63" i="18"/>
  <c r="T72" i="18" s="1"/>
  <c r="O63" i="18"/>
  <c r="O72" i="18" s="1"/>
  <c r="BM62" i="18"/>
  <c r="AW62" i="18"/>
  <c r="AV62" i="18"/>
  <c r="AU62" i="18"/>
  <c r="AR62" i="18"/>
  <c r="AQ62" i="18"/>
  <c r="AP62" i="18"/>
  <c r="AP79" i="18" s="1"/>
  <c r="AP80" i="18" s="1"/>
  <c r="AO62" i="18"/>
  <c r="AM62" i="18"/>
  <c r="AL62" i="18"/>
  <c r="AK62" i="18"/>
  <c r="AI62" i="18"/>
  <c r="X62" i="18"/>
  <c r="W62" i="18"/>
  <c r="V62" i="18"/>
  <c r="G62" i="18"/>
  <c r="F62" i="18"/>
  <c r="BK61" i="18"/>
  <c r="AX61" i="18"/>
  <c r="AS61" i="18"/>
  <c r="AN61" i="18"/>
  <c r="AJ61" i="18"/>
  <c r="AD61" i="18"/>
  <c r="Y61" i="18"/>
  <c r="T61" i="18"/>
  <c r="O61" i="18"/>
  <c r="F61" i="18"/>
  <c r="BK60" i="18"/>
  <c r="AX60" i="18"/>
  <c r="AS60" i="18"/>
  <c r="AN60" i="18"/>
  <c r="AJ60" i="18"/>
  <c r="AD60" i="18"/>
  <c r="Y60" i="18"/>
  <c r="T60" i="18"/>
  <c r="O60" i="18"/>
  <c r="F60" i="18"/>
  <c r="BK59" i="18"/>
  <c r="AX59" i="18"/>
  <c r="AS59" i="18"/>
  <c r="AN59" i="18"/>
  <c r="AJ59" i="18"/>
  <c r="AD59" i="18"/>
  <c r="Y59" i="18"/>
  <c r="T59" i="18"/>
  <c r="O59" i="18"/>
  <c r="G59" i="18"/>
  <c r="BK58" i="18"/>
  <c r="AX58" i="18"/>
  <c r="AS58" i="18"/>
  <c r="AN58" i="18"/>
  <c r="AJ58" i="18"/>
  <c r="AD58" i="18"/>
  <c r="Y58" i="18"/>
  <c r="T58" i="18"/>
  <c r="O58" i="18"/>
  <c r="G58" i="18"/>
  <c r="F58" i="18"/>
  <c r="BK57" i="18"/>
  <c r="AX57" i="18"/>
  <c r="AS57" i="18"/>
  <c r="AN57" i="18"/>
  <c r="AJ57" i="18"/>
  <c r="AD57" i="18"/>
  <c r="Y57" i="18"/>
  <c r="T57" i="18"/>
  <c r="O57" i="18"/>
  <c r="F57" i="18"/>
  <c r="BK56" i="18"/>
  <c r="AX56" i="18"/>
  <c r="AS56" i="18"/>
  <c r="AN56" i="18"/>
  <c r="AJ56" i="18"/>
  <c r="AD56" i="18"/>
  <c r="Y56" i="18"/>
  <c r="T56" i="18"/>
  <c r="O56" i="18"/>
  <c r="F56" i="18"/>
  <c r="BK55" i="18"/>
  <c r="AX55" i="18"/>
  <c r="AS55" i="18"/>
  <c r="AN55" i="18"/>
  <c r="AJ55" i="18"/>
  <c r="AD55" i="18"/>
  <c r="Y55" i="18"/>
  <c r="T55" i="18"/>
  <c r="O55" i="18"/>
  <c r="G55" i="18"/>
  <c r="BK54" i="18"/>
  <c r="AX54" i="18"/>
  <c r="AS54" i="18"/>
  <c r="AN54" i="18"/>
  <c r="AJ54" i="18"/>
  <c r="AD54" i="18"/>
  <c r="Y54" i="18"/>
  <c r="T54" i="18"/>
  <c r="O54" i="18"/>
  <c r="G54" i="18"/>
  <c r="F54" i="18"/>
  <c r="BK53" i="18"/>
  <c r="AX53" i="18"/>
  <c r="AS53" i="18"/>
  <c r="AN53" i="18"/>
  <c r="AJ53" i="18"/>
  <c r="AD53" i="18"/>
  <c r="Y53" i="18"/>
  <c r="T53" i="18"/>
  <c r="O53" i="18"/>
  <c r="F53" i="18"/>
  <c r="BK52" i="18"/>
  <c r="AX52" i="18"/>
  <c r="AS52" i="18"/>
  <c r="AN52" i="18"/>
  <c r="AJ52" i="18"/>
  <c r="AD52" i="18"/>
  <c r="Y52" i="18"/>
  <c r="T52" i="18"/>
  <c r="O52" i="18"/>
  <c r="G52" i="18"/>
  <c r="F52" i="18"/>
  <c r="BK51" i="18"/>
  <c r="AX51" i="18"/>
  <c r="AS51" i="18"/>
  <c r="AN51" i="18"/>
  <c r="AJ51" i="18"/>
  <c r="AD51" i="18"/>
  <c r="Y51" i="18"/>
  <c r="T51" i="18"/>
  <c r="O51" i="18"/>
  <c r="G51" i="18"/>
  <c r="F51" i="18"/>
  <c r="BK50" i="18"/>
  <c r="AX50" i="18"/>
  <c r="AS50" i="18"/>
  <c r="AN50" i="18"/>
  <c r="AJ50" i="18"/>
  <c r="AD50" i="18"/>
  <c r="Y50" i="18"/>
  <c r="T50" i="18"/>
  <c r="O50" i="18"/>
  <c r="G50" i="18"/>
  <c r="F50" i="18"/>
  <c r="BK49" i="18"/>
  <c r="AX49" i="18"/>
  <c r="AS49" i="18"/>
  <c r="AN49" i="18"/>
  <c r="AJ49" i="18"/>
  <c r="AD49" i="18"/>
  <c r="Y49" i="18"/>
  <c r="T49" i="18"/>
  <c r="O49" i="18"/>
  <c r="G49" i="18"/>
  <c r="F49" i="18"/>
  <c r="BK48" i="18"/>
  <c r="AX48" i="18"/>
  <c r="AS48" i="18"/>
  <c r="AN48" i="18"/>
  <c r="AJ48" i="18"/>
  <c r="AD48" i="18"/>
  <c r="Y48" i="18"/>
  <c r="T48" i="18"/>
  <c r="O48" i="18"/>
  <c r="G48" i="18"/>
  <c r="F48" i="18"/>
  <c r="BK47" i="18"/>
  <c r="AX47" i="18"/>
  <c r="AS47" i="18"/>
  <c r="AN47" i="18"/>
  <c r="AJ47" i="18"/>
  <c r="AD47" i="18"/>
  <c r="Y47" i="18"/>
  <c r="T47" i="18"/>
  <c r="O47" i="18"/>
  <c r="G47" i="18"/>
  <c r="F47" i="18"/>
  <c r="BK46" i="18"/>
  <c r="AX46" i="18"/>
  <c r="AS46" i="18"/>
  <c r="AN46" i="18"/>
  <c r="AJ46" i="18"/>
  <c r="AD46" i="18"/>
  <c r="Y46" i="18"/>
  <c r="T46" i="18"/>
  <c r="O46" i="18"/>
  <c r="G46" i="18"/>
  <c r="F46" i="18"/>
  <c r="BK45" i="18"/>
  <c r="AX45" i="18"/>
  <c r="AS45" i="18"/>
  <c r="AN45" i="18"/>
  <c r="AJ45" i="18"/>
  <c r="AD45" i="18"/>
  <c r="Y45" i="18"/>
  <c r="T45" i="18"/>
  <c r="O45" i="18"/>
  <c r="G45" i="18"/>
  <c r="F45" i="18"/>
  <c r="AX44" i="18"/>
  <c r="AS44" i="18"/>
  <c r="AN44" i="18"/>
  <c r="AJ44" i="18"/>
  <c r="AD44" i="18"/>
  <c r="Y44" i="18"/>
  <c r="T44" i="18"/>
  <c r="O44" i="18"/>
  <c r="G44" i="18"/>
  <c r="F44" i="18"/>
  <c r="BK43" i="18"/>
  <c r="AX43" i="18"/>
  <c r="AS43" i="18"/>
  <c r="AN43" i="18"/>
  <c r="AJ43" i="18"/>
  <c r="AD43" i="18"/>
  <c r="Y43" i="18"/>
  <c r="T43" i="18"/>
  <c r="O43" i="18"/>
  <c r="G43" i="18"/>
  <c r="F43" i="18"/>
  <c r="BK42" i="18"/>
  <c r="AX42" i="18"/>
  <c r="AS42" i="18"/>
  <c r="AN42" i="18"/>
  <c r="AJ42" i="18"/>
  <c r="AD42" i="18"/>
  <c r="Y42" i="18"/>
  <c r="T42" i="18"/>
  <c r="O42" i="18"/>
  <c r="G42" i="18"/>
  <c r="F42" i="18"/>
  <c r="BK41" i="18"/>
  <c r="AX41" i="18"/>
  <c r="AS41" i="18"/>
  <c r="AN41" i="18"/>
  <c r="AJ41" i="18"/>
  <c r="AD41" i="18"/>
  <c r="AD62" i="18" s="1"/>
  <c r="Y41" i="18"/>
  <c r="Y62" i="18" s="1"/>
  <c r="T41" i="18"/>
  <c r="O41" i="18"/>
  <c r="G41" i="18"/>
  <c r="F41" i="18"/>
  <c r="BK40" i="18"/>
  <c r="BK62" i="18" s="1"/>
  <c r="AX40" i="18"/>
  <c r="AS40" i="18"/>
  <c r="AN40" i="18"/>
  <c r="AJ40" i="18"/>
  <c r="AD40" i="18"/>
  <c r="Y40" i="18"/>
  <c r="T40" i="18"/>
  <c r="O40" i="18"/>
  <c r="O62" i="18" s="1"/>
  <c r="G40" i="18"/>
  <c r="F40" i="18"/>
  <c r="BK39" i="18"/>
  <c r="AX39" i="18"/>
  <c r="AX62" i="18" s="1"/>
  <c r="AS39" i="18"/>
  <c r="AS62" i="18" s="1"/>
  <c r="AN39" i="18"/>
  <c r="AN62" i="18" s="1"/>
  <c r="AJ39" i="18"/>
  <c r="AJ62" i="18" s="1"/>
  <c r="AD39" i="18"/>
  <c r="Y39" i="18"/>
  <c r="T39" i="18"/>
  <c r="T62" i="18" s="1"/>
  <c r="O39" i="18"/>
  <c r="G39" i="18"/>
  <c r="F39" i="18"/>
  <c r="BM38" i="18"/>
  <c r="AW38" i="18"/>
  <c r="AW79" i="18" s="1"/>
  <c r="AV38" i="18"/>
  <c r="AV79" i="18" s="1"/>
  <c r="AV80" i="18" s="1"/>
  <c r="AU38" i="18"/>
  <c r="AU79" i="18" s="1"/>
  <c r="AR38" i="18"/>
  <c r="AQ38" i="18"/>
  <c r="AP38" i="18"/>
  <c r="AO38" i="18"/>
  <c r="AM38" i="18"/>
  <c r="AM79" i="18" s="1"/>
  <c r="AL38" i="18"/>
  <c r="AL76" i="18" s="1"/>
  <c r="AK38" i="18"/>
  <c r="AK76" i="18" s="1"/>
  <c r="AI38" i="18"/>
  <c r="AI79" i="18" s="1"/>
  <c r="X38" i="18"/>
  <c r="X79" i="18" s="1"/>
  <c r="W38" i="18"/>
  <c r="W79" i="18" s="1"/>
  <c r="V38" i="18"/>
  <c r="V79" i="18" s="1"/>
  <c r="G38" i="18"/>
  <c r="F38" i="18"/>
  <c r="BK37" i="18"/>
  <c r="AX37" i="18"/>
  <c r="AS37" i="18"/>
  <c r="AN37" i="18"/>
  <c r="AJ37" i="18"/>
  <c r="AD37" i="18"/>
  <c r="Y37" i="18"/>
  <c r="T37" i="18"/>
  <c r="O37" i="18"/>
  <c r="G37" i="18"/>
  <c r="F37" i="18"/>
  <c r="BK36" i="18"/>
  <c r="AX36" i="18"/>
  <c r="AS36" i="18"/>
  <c r="AN36" i="18"/>
  <c r="AJ36" i="18"/>
  <c r="AD36" i="18"/>
  <c r="Y36" i="18"/>
  <c r="T36" i="18"/>
  <c r="O36" i="18"/>
  <c r="G36" i="18"/>
  <c r="F36" i="18"/>
  <c r="BK35" i="18"/>
  <c r="AX35" i="18"/>
  <c r="AS35" i="18"/>
  <c r="AN35" i="18"/>
  <c r="AJ35" i="18"/>
  <c r="AD35" i="18"/>
  <c r="Y35" i="18"/>
  <c r="T35" i="18"/>
  <c r="O35" i="18"/>
  <c r="G35" i="18"/>
  <c r="F35" i="18"/>
  <c r="BK34" i="18"/>
  <c r="AX34" i="18"/>
  <c r="AS34" i="18"/>
  <c r="AN34" i="18"/>
  <c r="AJ34" i="18"/>
  <c r="AD34" i="18"/>
  <c r="Y34" i="18"/>
  <c r="T34" i="18"/>
  <c r="O34" i="18"/>
  <c r="G34" i="18"/>
  <c r="F34" i="18"/>
  <c r="BK33" i="18"/>
  <c r="AX33" i="18"/>
  <c r="AS33" i="18"/>
  <c r="AN33" i="18"/>
  <c r="AJ33" i="18"/>
  <c r="AD33" i="18"/>
  <c r="Y33" i="18"/>
  <c r="T33" i="18"/>
  <c r="O33" i="18"/>
  <c r="G33" i="18"/>
  <c r="F33" i="18"/>
  <c r="BK32" i="18"/>
  <c r="AX32" i="18"/>
  <c r="AS32" i="18"/>
  <c r="AN32" i="18"/>
  <c r="AJ32" i="18"/>
  <c r="AD32" i="18"/>
  <c r="Y32" i="18"/>
  <c r="T32" i="18"/>
  <c r="O32" i="18"/>
  <c r="G32" i="18"/>
  <c r="F32" i="18"/>
  <c r="BK31" i="18"/>
  <c r="AX31" i="18"/>
  <c r="AS31" i="18"/>
  <c r="AN31" i="18"/>
  <c r="AJ31" i="18"/>
  <c r="AD31" i="18"/>
  <c r="Y31" i="18"/>
  <c r="T31" i="18"/>
  <c r="O31" i="18"/>
  <c r="G31" i="18"/>
  <c r="F31" i="18"/>
  <c r="BK30" i="18"/>
  <c r="AX30" i="18"/>
  <c r="AS30" i="18"/>
  <c r="AN30" i="18"/>
  <c r="AJ30" i="18"/>
  <c r="AD30" i="18"/>
  <c r="Y30" i="18"/>
  <c r="T30" i="18"/>
  <c r="O30" i="18"/>
  <c r="G30" i="18"/>
  <c r="F30" i="18"/>
  <c r="BK29" i="18"/>
  <c r="AX29" i="18"/>
  <c r="AS29" i="18"/>
  <c r="AN29" i="18"/>
  <c r="AJ29" i="18"/>
  <c r="AD29" i="18"/>
  <c r="Y29" i="18"/>
  <c r="T29" i="18"/>
  <c r="O29" i="18"/>
  <c r="G29" i="18"/>
  <c r="F29" i="18"/>
  <c r="BK28" i="18"/>
  <c r="AX28" i="18"/>
  <c r="AS28" i="18"/>
  <c r="AN28" i="18"/>
  <c r="AJ28" i="18"/>
  <c r="AD28" i="18"/>
  <c r="Y28" i="18"/>
  <c r="T28" i="18"/>
  <c r="O28" i="18"/>
  <c r="G28" i="18"/>
  <c r="F28" i="18"/>
  <c r="BK27" i="18"/>
  <c r="AX27" i="18"/>
  <c r="AS27" i="18"/>
  <c r="AN27" i="18"/>
  <c r="AN38" i="18" s="1"/>
  <c r="AJ27" i="18"/>
  <c r="AD27" i="18"/>
  <c r="Y27" i="18"/>
  <c r="T27" i="18"/>
  <c r="O27" i="18"/>
  <c r="G27" i="18"/>
  <c r="F27" i="18"/>
  <c r="BK26" i="18"/>
  <c r="AX26" i="18"/>
  <c r="AS26" i="18"/>
  <c r="AN26" i="18"/>
  <c r="AJ26" i="18"/>
  <c r="AD26" i="18"/>
  <c r="AD38" i="18" s="1"/>
  <c r="Y26" i="18"/>
  <c r="T26" i="18"/>
  <c r="O26" i="18"/>
  <c r="G26" i="18"/>
  <c r="F26" i="18"/>
  <c r="BK25" i="18"/>
  <c r="BK38" i="18" s="1"/>
  <c r="AX25" i="18"/>
  <c r="AX38" i="18" s="1"/>
  <c r="AS25" i="18"/>
  <c r="AS38" i="18" s="1"/>
  <c r="AN25" i="18"/>
  <c r="AJ25" i="18"/>
  <c r="AJ38" i="18" s="1"/>
  <c r="AD25" i="18"/>
  <c r="Y25" i="18"/>
  <c r="Y38" i="18" s="1"/>
  <c r="T25" i="18"/>
  <c r="T38" i="18" s="1"/>
  <c r="O25" i="18"/>
  <c r="O38" i="18" s="1"/>
  <c r="G25" i="18"/>
  <c r="F25" i="18"/>
  <c r="AX13" i="18"/>
  <c r="AS13" i="18"/>
  <c r="AN13" i="18"/>
  <c r="AI13" i="18"/>
  <c r="AD13" i="18"/>
  <c r="Y13" i="18"/>
  <c r="T13" i="18"/>
  <c r="O13" i="18"/>
  <c r="J13" i="18"/>
  <c r="J80" i="18" s="1"/>
  <c r="E13" i="18"/>
  <c r="AX12" i="18"/>
  <c r="AS12" i="18"/>
  <c r="AN12" i="18"/>
  <c r="AI12" i="18"/>
  <c r="AD12" i="18"/>
  <c r="Y12" i="18"/>
  <c r="T12" i="18"/>
  <c r="O12" i="18"/>
  <c r="J12" i="18"/>
  <c r="E12" i="18"/>
  <c r="AS79" i="18" l="1"/>
  <c r="AX79" i="18"/>
  <c r="AI80" i="18"/>
  <c r="AL82" i="18"/>
  <c r="AU80" i="18"/>
  <c r="BK79" i="18"/>
  <c r="AW80" i="18"/>
  <c r="AF82" i="18"/>
  <c r="O79" i="18"/>
  <c r="AJ79" i="18"/>
  <c r="AJ76" i="18"/>
  <c r="AJ80" i="18" s="1"/>
  <c r="T79" i="18"/>
  <c r="V82" i="18" s="1"/>
  <c r="AU82" i="18"/>
  <c r="I76" i="18"/>
  <c r="AD79" i="18"/>
  <c r="AN79" i="18"/>
  <c r="AM76" i="18"/>
  <c r="AR80" i="18"/>
  <c r="G53" i="18"/>
  <c r="G57" i="18"/>
  <c r="G61" i="18"/>
  <c r="F68" i="18"/>
  <c r="G69" i="18"/>
  <c r="F75" i="18"/>
  <c r="AC79" i="18"/>
  <c r="AK79" i="18"/>
  <c r="AK80" i="18" s="1"/>
  <c r="Y76" i="18"/>
  <c r="Y79" i="18" s="1"/>
  <c r="AL79" i="18"/>
  <c r="AL80" i="18" s="1"/>
  <c r="G56" i="18"/>
  <c r="G60" i="18"/>
  <c r="F63" i="18"/>
  <c r="F64" i="18"/>
  <c r="F65" i="18"/>
  <c r="F66" i="18"/>
  <c r="G67" i="18"/>
  <c r="G74" i="18"/>
  <c r="BM76" i="18"/>
  <c r="BM80" i="18" s="1"/>
  <c r="BK80" i="18" s="1"/>
  <c r="AM80" i="18"/>
  <c r="Z84" i="18"/>
  <c r="F55" i="18"/>
  <c r="F59" i="18"/>
  <c r="G63" i="18"/>
  <c r="G64" i="18"/>
  <c r="G65" i="18"/>
  <c r="G66" i="18"/>
  <c r="F73" i="18"/>
  <c r="F79" i="18"/>
  <c r="AA84" i="18"/>
  <c r="G73" i="18"/>
  <c r="F77" i="18"/>
  <c r="F78" i="18"/>
  <c r="G79" i="18"/>
  <c r="AH80" i="18"/>
  <c r="Z85" i="18"/>
  <c r="N78" i="17"/>
  <c r="L78" i="17"/>
  <c r="K78" i="17"/>
  <c r="Z85" i="17"/>
  <c r="AA85" i="17"/>
  <c r="AC85" i="17"/>
  <c r="N77" i="17"/>
  <c r="L77" i="17"/>
  <c r="K77" i="17"/>
  <c r="AC84" i="17"/>
  <c r="AA84" i="17"/>
  <c r="Z84" i="17"/>
  <c r="K72" i="17"/>
  <c r="J82" i="17"/>
  <c r="J78" i="17"/>
  <c r="J77" i="17"/>
  <c r="J75" i="17"/>
  <c r="J74" i="17"/>
  <c r="J73" i="17"/>
  <c r="J64" i="17"/>
  <c r="J65" i="17"/>
  <c r="J66" i="17"/>
  <c r="J67" i="17"/>
  <c r="J68" i="17"/>
  <c r="J69" i="17"/>
  <c r="J70" i="17"/>
  <c r="J71" i="17"/>
  <c r="J63" i="17"/>
  <c r="J61" i="17"/>
  <c r="J40" i="17"/>
  <c r="J41" i="17"/>
  <c r="J42" i="17"/>
  <c r="J43" i="17"/>
  <c r="J44" i="17"/>
  <c r="J45" i="17"/>
  <c r="J46" i="17"/>
  <c r="J47" i="17"/>
  <c r="J48" i="17"/>
  <c r="J49" i="17"/>
  <c r="J50" i="17"/>
  <c r="J51" i="17"/>
  <c r="J52" i="17"/>
  <c r="J53" i="17"/>
  <c r="J54" i="17"/>
  <c r="J55" i="17"/>
  <c r="J56" i="17"/>
  <c r="J57" i="17"/>
  <c r="J58" i="17"/>
  <c r="J59" i="17"/>
  <c r="J60" i="17"/>
  <c r="J39" i="17"/>
  <c r="J27" i="17"/>
  <c r="J28" i="17"/>
  <c r="J29" i="17"/>
  <c r="J30" i="17"/>
  <c r="J31" i="17"/>
  <c r="J32" i="17"/>
  <c r="J33" i="17"/>
  <c r="J34" i="17"/>
  <c r="J35" i="17"/>
  <c r="J36" i="17"/>
  <c r="J37" i="17"/>
  <c r="J26" i="17"/>
  <c r="J25" i="17"/>
  <c r="E78" i="17"/>
  <c r="E77" i="17"/>
  <c r="E74" i="17"/>
  <c r="E75" i="17"/>
  <c r="E73" i="17"/>
  <c r="E64" i="17"/>
  <c r="E65" i="17"/>
  <c r="E66" i="17"/>
  <c r="E67" i="17"/>
  <c r="E68" i="17"/>
  <c r="E69" i="17"/>
  <c r="E70" i="17"/>
  <c r="E71" i="17"/>
  <c r="E63" i="17"/>
  <c r="E62" i="17"/>
  <c r="E40" i="17"/>
  <c r="E41" i="17"/>
  <c r="E42" i="17"/>
  <c r="E43" i="17"/>
  <c r="E44" i="17"/>
  <c r="E45" i="17"/>
  <c r="E46" i="17"/>
  <c r="E47" i="17"/>
  <c r="E48" i="17"/>
  <c r="E49" i="17"/>
  <c r="E50" i="17"/>
  <c r="E51" i="17"/>
  <c r="E52" i="17"/>
  <c r="E53" i="17"/>
  <c r="E54" i="17"/>
  <c r="E55" i="17"/>
  <c r="E56" i="17"/>
  <c r="E57" i="17"/>
  <c r="E58" i="17"/>
  <c r="E59" i="17"/>
  <c r="E60" i="17"/>
  <c r="E61" i="17"/>
  <c r="E39" i="17"/>
  <c r="E38" i="17"/>
  <c r="E27" i="17"/>
  <c r="E28" i="17"/>
  <c r="E29" i="17"/>
  <c r="E30" i="17"/>
  <c r="E31" i="17"/>
  <c r="E32" i="17"/>
  <c r="E33" i="17"/>
  <c r="E34" i="17"/>
  <c r="E35" i="17"/>
  <c r="E36" i="17"/>
  <c r="E37" i="17"/>
  <c r="E26" i="17"/>
  <c r="E25" i="17"/>
  <c r="J83" i="17"/>
  <c r="I79" i="17"/>
  <c r="G79" i="17"/>
  <c r="F79" i="17"/>
  <c r="I78" i="17"/>
  <c r="G78" i="17"/>
  <c r="F78" i="17"/>
  <c r="I77" i="17"/>
  <c r="G77" i="17"/>
  <c r="F77" i="17"/>
  <c r="I76" i="17"/>
  <c r="G76" i="17"/>
  <c r="F76" i="17"/>
  <c r="F74" i="17"/>
  <c r="G74" i="17"/>
  <c r="I74" i="17"/>
  <c r="F75" i="17"/>
  <c r="G75" i="17"/>
  <c r="I75" i="17"/>
  <c r="I73" i="17"/>
  <c r="G73" i="17"/>
  <c r="F73" i="17"/>
  <c r="I72" i="17"/>
  <c r="G72" i="17"/>
  <c r="F72" i="17"/>
  <c r="F64" i="17"/>
  <c r="G64" i="17"/>
  <c r="I64" i="17"/>
  <c r="F65" i="17"/>
  <c r="G65" i="17"/>
  <c r="I65" i="17"/>
  <c r="F66" i="17"/>
  <c r="G66" i="17"/>
  <c r="I66" i="17"/>
  <c r="F67" i="17"/>
  <c r="G67" i="17"/>
  <c r="I67" i="17"/>
  <c r="F68" i="17"/>
  <c r="G68" i="17"/>
  <c r="I68" i="17"/>
  <c r="F69" i="17"/>
  <c r="G69" i="17"/>
  <c r="I69" i="17"/>
  <c r="F70" i="17"/>
  <c r="G70" i="17"/>
  <c r="I70" i="17"/>
  <c r="F71" i="17"/>
  <c r="G71" i="17"/>
  <c r="I71" i="17"/>
  <c r="I63" i="17"/>
  <c r="G63" i="17"/>
  <c r="F63" i="17"/>
  <c r="I62" i="17"/>
  <c r="G62" i="17"/>
  <c r="F62" i="17"/>
  <c r="F41" i="17"/>
  <c r="G41" i="17"/>
  <c r="I41" i="17"/>
  <c r="F42" i="17"/>
  <c r="G42" i="17"/>
  <c r="I42" i="17"/>
  <c r="F43" i="17"/>
  <c r="G43" i="17"/>
  <c r="I43" i="17"/>
  <c r="F44" i="17"/>
  <c r="G44" i="17"/>
  <c r="I44" i="17"/>
  <c r="F45" i="17"/>
  <c r="G45" i="17"/>
  <c r="I45" i="17"/>
  <c r="F46" i="17"/>
  <c r="G46" i="17"/>
  <c r="I46" i="17"/>
  <c r="F47" i="17"/>
  <c r="G47" i="17"/>
  <c r="I47" i="17"/>
  <c r="F48" i="17"/>
  <c r="G48" i="17"/>
  <c r="I48" i="17"/>
  <c r="F49" i="17"/>
  <c r="G49" i="17"/>
  <c r="I49" i="17"/>
  <c r="F50" i="17"/>
  <c r="G50" i="17"/>
  <c r="I50" i="17"/>
  <c r="F51" i="17"/>
  <c r="G51" i="17"/>
  <c r="I51" i="17"/>
  <c r="F52" i="17"/>
  <c r="G52" i="17"/>
  <c r="I52" i="17"/>
  <c r="F53" i="17"/>
  <c r="G53" i="17"/>
  <c r="I53" i="17"/>
  <c r="F54" i="17"/>
  <c r="G54" i="17"/>
  <c r="I54" i="17"/>
  <c r="F55" i="17"/>
  <c r="G55" i="17"/>
  <c r="I55" i="17"/>
  <c r="F56" i="17"/>
  <c r="G56" i="17"/>
  <c r="I56" i="17"/>
  <c r="F57" i="17"/>
  <c r="G57" i="17"/>
  <c r="I57" i="17"/>
  <c r="F58" i="17"/>
  <c r="G58" i="17"/>
  <c r="I58" i="17"/>
  <c r="F59" i="17"/>
  <c r="G59" i="17"/>
  <c r="I59" i="17"/>
  <c r="F60" i="17"/>
  <c r="G60" i="17"/>
  <c r="I60" i="17"/>
  <c r="F61" i="17"/>
  <c r="G61" i="17"/>
  <c r="I61" i="17"/>
  <c r="I40" i="17"/>
  <c r="G40" i="17"/>
  <c r="F40" i="17"/>
  <c r="I39" i="17"/>
  <c r="G39" i="17"/>
  <c r="F39" i="17"/>
  <c r="I38" i="17"/>
  <c r="G38" i="17"/>
  <c r="F38" i="17"/>
  <c r="F27" i="17"/>
  <c r="G27" i="17"/>
  <c r="I27" i="17"/>
  <c r="F28" i="17"/>
  <c r="G28" i="17"/>
  <c r="I28" i="17"/>
  <c r="F29" i="17"/>
  <c r="G29" i="17"/>
  <c r="I29" i="17"/>
  <c r="F30" i="17"/>
  <c r="G30" i="17"/>
  <c r="I30" i="17"/>
  <c r="F31" i="17"/>
  <c r="G31" i="17"/>
  <c r="I31" i="17"/>
  <c r="F32" i="17"/>
  <c r="G32" i="17"/>
  <c r="I32" i="17"/>
  <c r="F33" i="17"/>
  <c r="G33" i="17"/>
  <c r="I33" i="17"/>
  <c r="F34" i="17"/>
  <c r="G34" i="17"/>
  <c r="I34" i="17"/>
  <c r="F35" i="17"/>
  <c r="G35" i="17"/>
  <c r="I35" i="17"/>
  <c r="F36" i="17"/>
  <c r="G36" i="17"/>
  <c r="I36" i="17"/>
  <c r="F37" i="17"/>
  <c r="G37" i="17"/>
  <c r="I37" i="17"/>
  <c r="I26" i="17"/>
  <c r="G26" i="17"/>
  <c r="F26" i="17"/>
  <c r="G25" i="17"/>
  <c r="I25" i="17"/>
  <c r="F25" i="17"/>
  <c r="E13" i="17"/>
  <c r="E12" i="17"/>
  <c r="AB82" i="18" l="1"/>
  <c r="E69" i="18"/>
  <c r="J69" i="18" s="1"/>
  <c r="E61" i="18"/>
  <c r="J61" i="18" s="1"/>
  <c r="E57" i="18"/>
  <c r="J57" i="18" s="1"/>
  <c r="E53" i="18"/>
  <c r="J53" i="18" s="1"/>
  <c r="E49" i="18"/>
  <c r="J49" i="18" s="1"/>
  <c r="E45" i="18"/>
  <c r="J45" i="18" s="1"/>
  <c r="E71" i="18"/>
  <c r="J71" i="18" s="1"/>
  <c r="E70" i="18"/>
  <c r="J70" i="18" s="1"/>
  <c r="E42" i="18"/>
  <c r="J42" i="18" s="1"/>
  <c r="E41" i="18"/>
  <c r="J41" i="18" s="1"/>
  <c r="Y80" i="18"/>
  <c r="E58" i="18"/>
  <c r="J58" i="18" s="1"/>
  <c r="E54" i="18"/>
  <c r="J54" i="18" s="1"/>
  <c r="E50" i="18"/>
  <c r="J50" i="18" s="1"/>
  <c r="E46" i="18"/>
  <c r="J46" i="18" s="1"/>
  <c r="E35" i="18"/>
  <c r="J35" i="18" s="1"/>
  <c r="E31" i="18"/>
  <c r="J31" i="18" s="1"/>
  <c r="E27" i="18"/>
  <c r="J27" i="18" s="1"/>
  <c r="E75" i="18"/>
  <c r="J75" i="18" s="1"/>
  <c r="E43" i="18"/>
  <c r="J43" i="18" s="1"/>
  <c r="E44" i="18"/>
  <c r="J44" i="18" s="1"/>
  <c r="E40" i="18"/>
  <c r="J40" i="18" s="1"/>
  <c r="E66" i="18"/>
  <c r="J66" i="18" s="1"/>
  <c r="E65" i="18"/>
  <c r="J65" i="18" s="1"/>
  <c r="E64" i="18"/>
  <c r="J64" i="18" s="1"/>
  <c r="E63" i="18"/>
  <c r="E34" i="18"/>
  <c r="J34" i="18" s="1"/>
  <c r="E68" i="18"/>
  <c r="J68" i="18" s="1"/>
  <c r="E30" i="18"/>
  <c r="J30" i="18" s="1"/>
  <c r="E26" i="18"/>
  <c r="J26" i="18" s="1"/>
  <c r="E32" i="18"/>
  <c r="J32" i="18" s="1"/>
  <c r="E73" i="18"/>
  <c r="E51" i="18"/>
  <c r="J51" i="18" s="1"/>
  <c r="E48" i="18"/>
  <c r="J48" i="18" s="1"/>
  <c r="E55" i="18"/>
  <c r="J55" i="18" s="1"/>
  <c r="E67" i="18"/>
  <c r="J67" i="18" s="1"/>
  <c r="AA82" i="18"/>
  <c r="E60" i="18"/>
  <c r="J60" i="18" s="1"/>
  <c r="E33" i="18"/>
  <c r="J33" i="18" s="1"/>
  <c r="E62" i="18"/>
  <c r="E47" i="18"/>
  <c r="J47" i="18" s="1"/>
  <c r="E77" i="18"/>
  <c r="J77" i="18" s="1"/>
  <c r="E52" i="18"/>
  <c r="J52" i="18" s="1"/>
  <c r="E56" i="18"/>
  <c r="J56" i="18" s="1"/>
  <c r="E25" i="18"/>
  <c r="J25" i="18" s="1"/>
  <c r="E78" i="18"/>
  <c r="E39" i="18"/>
  <c r="J39" i="18" s="1"/>
  <c r="J62" i="18" s="1"/>
  <c r="E38" i="18"/>
  <c r="E59" i="18"/>
  <c r="J59" i="18" s="1"/>
  <c r="E74" i="18"/>
  <c r="J74" i="18" s="1"/>
  <c r="E36" i="18"/>
  <c r="J36" i="18" s="1"/>
  <c r="E28" i="18"/>
  <c r="J28" i="18" s="1"/>
  <c r="E37" i="18"/>
  <c r="J37" i="18" s="1"/>
  <c r="E29" i="18"/>
  <c r="J29" i="18" s="1"/>
  <c r="I78" i="18"/>
  <c r="I77" i="18"/>
  <c r="I43" i="18"/>
  <c r="I39" i="18"/>
  <c r="I79" i="18"/>
  <c r="I73" i="18"/>
  <c r="I59" i="18"/>
  <c r="I55" i="18"/>
  <c r="I51" i="18"/>
  <c r="I47" i="18"/>
  <c r="I36" i="18"/>
  <c r="I32" i="18"/>
  <c r="I28" i="18"/>
  <c r="I46" i="18"/>
  <c r="I35" i="18"/>
  <c r="I27" i="18"/>
  <c r="I66" i="18"/>
  <c r="I65" i="18"/>
  <c r="I64" i="18"/>
  <c r="I63" i="18"/>
  <c r="I44" i="18"/>
  <c r="I40" i="18"/>
  <c r="I58" i="18"/>
  <c r="I50" i="18"/>
  <c r="I31" i="18"/>
  <c r="I74" i="18"/>
  <c r="I67" i="18"/>
  <c r="I60" i="18"/>
  <c r="I56" i="18"/>
  <c r="I52" i="18"/>
  <c r="I48" i="18"/>
  <c r="I37" i="18"/>
  <c r="I33" i="18"/>
  <c r="I29" i="18"/>
  <c r="I25" i="18"/>
  <c r="I38" i="18"/>
  <c r="I34" i="18"/>
  <c r="I26" i="18"/>
  <c r="I54" i="18"/>
  <c r="I75" i="18"/>
  <c r="I68" i="18"/>
  <c r="I41" i="18"/>
  <c r="I30" i="18"/>
  <c r="I69" i="18"/>
  <c r="I61" i="18"/>
  <c r="I57" i="18"/>
  <c r="I53" i="18"/>
  <c r="I49" i="18"/>
  <c r="I45" i="18"/>
  <c r="I72" i="18"/>
  <c r="AC80" i="18"/>
  <c r="I71" i="18"/>
  <c r="I70" i="18"/>
  <c r="I42" i="18"/>
  <c r="L82" i="18"/>
  <c r="I62" i="18"/>
  <c r="AK82" i="18"/>
  <c r="O80" i="18"/>
  <c r="R82" i="18"/>
  <c r="AQ82" i="18"/>
  <c r="AN80" i="18"/>
  <c r="Q82" i="18"/>
  <c r="W82" i="18"/>
  <c r="T80" i="18"/>
  <c r="AX80" i="18"/>
  <c r="BA82" i="18"/>
  <c r="AZ82" i="18"/>
  <c r="AD80" i="18"/>
  <c r="AG82" i="18"/>
  <c r="AP82" i="18"/>
  <c r="AV82" i="18"/>
  <c r="AS80" i="18"/>
  <c r="E76" i="17"/>
  <c r="E72" i="17"/>
  <c r="E79" i="18" l="1"/>
  <c r="J78" i="18"/>
  <c r="J38" i="18"/>
  <c r="E76" i="18"/>
  <c r="J73" i="18"/>
  <c r="J76" i="18" s="1"/>
  <c r="L77" i="18"/>
  <c r="K77" i="18"/>
  <c r="N77" i="18" s="1"/>
  <c r="J63" i="18"/>
  <c r="J72" i="18" s="1"/>
  <c r="E72" i="18"/>
  <c r="E79" i="17"/>
  <c r="E80" i="17" s="1"/>
  <c r="H82" i="18" l="1"/>
  <c r="E80" i="18"/>
  <c r="G82" i="18"/>
  <c r="J82" i="18"/>
  <c r="L78" i="18"/>
  <c r="L79" i="18" s="1"/>
  <c r="K78" i="18"/>
  <c r="K79" i="18" s="1"/>
  <c r="H82" i="17"/>
  <c r="N78" i="18" l="1"/>
  <c r="N79" i="18" s="1"/>
  <c r="M82" i="18" s="1"/>
  <c r="J13" i="17"/>
  <c r="J12" i="17"/>
  <c r="K79" i="17"/>
  <c r="N76" i="17"/>
  <c r="N79" i="17" s="1"/>
  <c r="M76" i="17"/>
  <c r="M79" i="17" s="1"/>
  <c r="L76" i="17"/>
  <c r="L79" i="17" s="1"/>
  <c r="K76" i="17"/>
  <c r="J76" i="17"/>
  <c r="J72" i="17"/>
  <c r="J62" i="17"/>
  <c r="J38" i="17"/>
  <c r="AX13" i="17" l="1"/>
  <c r="AX12" i="17"/>
  <c r="L82" i="17" l="1"/>
  <c r="J80" i="17"/>
  <c r="M82" i="17"/>
  <c r="Y13" i="17"/>
  <c r="Y12" i="17"/>
  <c r="O13" i="17"/>
  <c r="O12" i="17"/>
  <c r="AD13" i="17"/>
  <c r="AD12" i="17"/>
  <c r="AN13" i="17"/>
  <c r="AN12" i="17"/>
  <c r="AS12" i="17"/>
  <c r="AS13" i="17"/>
  <c r="AX77" i="17"/>
  <c r="AY76" i="17"/>
  <c r="AZ76" i="17"/>
  <c r="BA76" i="17"/>
  <c r="BB76" i="17"/>
  <c r="AC76" i="17"/>
  <c r="AC79" i="17" s="1"/>
  <c r="AC80" i="17" s="1"/>
  <c r="AB76" i="17"/>
  <c r="AB79" i="17" s="1"/>
  <c r="AB80" i="17" s="1"/>
  <c r="AA76" i="17"/>
  <c r="AA79" i="17" s="1"/>
  <c r="AA80" i="17" s="1"/>
  <c r="Z76" i="17"/>
  <c r="Z79" i="17" s="1"/>
  <c r="Z80" i="17" s="1"/>
  <c r="Y78" i="17"/>
  <c r="Y77" i="17"/>
  <c r="Y75" i="17"/>
  <c r="Y74" i="17"/>
  <c r="Y73" i="17"/>
  <c r="Y71" i="17"/>
  <c r="Y70" i="17"/>
  <c r="Y69" i="17"/>
  <c r="Y68" i="17"/>
  <c r="Y67" i="17"/>
  <c r="Y66" i="17"/>
  <c r="Y65" i="17"/>
  <c r="Y64" i="17"/>
  <c r="Y63" i="17"/>
  <c r="Y61" i="17"/>
  <c r="Y60" i="17"/>
  <c r="Y59" i="17"/>
  <c r="Y58" i="17"/>
  <c r="Y57" i="17"/>
  <c r="Y56" i="17"/>
  <c r="Y55" i="17"/>
  <c r="Y54" i="17"/>
  <c r="Y53" i="17"/>
  <c r="Y52" i="17"/>
  <c r="Y51" i="17"/>
  <c r="Y50" i="17"/>
  <c r="Y49" i="17"/>
  <c r="Y48" i="17"/>
  <c r="Y47" i="17"/>
  <c r="Y46" i="17"/>
  <c r="Y45" i="17"/>
  <c r="Y44" i="17"/>
  <c r="Y43" i="17"/>
  <c r="Y42" i="17"/>
  <c r="Y41" i="17"/>
  <c r="Y40" i="17"/>
  <c r="Y39" i="17"/>
  <c r="Y37" i="17"/>
  <c r="Y36" i="17"/>
  <c r="Y35" i="17"/>
  <c r="Y34" i="17"/>
  <c r="Y33" i="17"/>
  <c r="Y32" i="17"/>
  <c r="Y31" i="17"/>
  <c r="Y30" i="17"/>
  <c r="Y29" i="17"/>
  <c r="Y28" i="17"/>
  <c r="Y27" i="17"/>
  <c r="Y26" i="17"/>
  <c r="Y25" i="17"/>
  <c r="Y38" i="17" l="1"/>
  <c r="Y72" i="17"/>
  <c r="Y62" i="17"/>
  <c r="Y76" i="17"/>
  <c r="Y79" i="17" l="1"/>
  <c r="Y80" i="17" s="1"/>
  <c r="AB82" i="17" l="1"/>
  <c r="AX78" i="17" l="1"/>
  <c r="BB79" i="17"/>
  <c r="BB80" i="17" s="1"/>
  <c r="BA79" i="17"/>
  <c r="BA80" i="17" s="1"/>
  <c r="AZ79" i="17"/>
  <c r="AZ80" i="17" s="1"/>
  <c r="AY79" i="17"/>
  <c r="AY80" i="17" s="1"/>
  <c r="AX75" i="17"/>
  <c r="AX74" i="17"/>
  <c r="AX73" i="17"/>
  <c r="AX71" i="17"/>
  <c r="AX70" i="17"/>
  <c r="AX69" i="17"/>
  <c r="AX68" i="17"/>
  <c r="AX67" i="17"/>
  <c r="AX66" i="17"/>
  <c r="AX65" i="17"/>
  <c r="AX64" i="17"/>
  <c r="AX63" i="17"/>
  <c r="AX61" i="17"/>
  <c r="AX60" i="17"/>
  <c r="AX59" i="17"/>
  <c r="AX58" i="17"/>
  <c r="AX57" i="17"/>
  <c r="AX56" i="17"/>
  <c r="AX55" i="17"/>
  <c r="AX54" i="17"/>
  <c r="AX53" i="17"/>
  <c r="AX52" i="17"/>
  <c r="AX51" i="17"/>
  <c r="AX50" i="17"/>
  <c r="AX49" i="17"/>
  <c r="AX48" i="17"/>
  <c r="AX47" i="17"/>
  <c r="AX46" i="17"/>
  <c r="AX45" i="17"/>
  <c r="AX44" i="17"/>
  <c r="AX43" i="17"/>
  <c r="AX42" i="17"/>
  <c r="AX41" i="17"/>
  <c r="AX40" i="17"/>
  <c r="AX39" i="17"/>
  <c r="AX37" i="17"/>
  <c r="AX36" i="17"/>
  <c r="AX35" i="17"/>
  <c r="AX34" i="17"/>
  <c r="AX33" i="17"/>
  <c r="AX32" i="17"/>
  <c r="AX31" i="17"/>
  <c r="AX30" i="17"/>
  <c r="AX29" i="17"/>
  <c r="AX28" i="17"/>
  <c r="AX27" i="17"/>
  <c r="AX26" i="17"/>
  <c r="AX25" i="17"/>
  <c r="O78" i="17"/>
  <c r="O77" i="17"/>
  <c r="S76" i="17"/>
  <c r="S79" i="17" s="1"/>
  <c r="S80" i="17" s="1"/>
  <c r="R76" i="17"/>
  <c r="R79" i="17" s="1"/>
  <c r="R80" i="17" s="1"/>
  <c r="Q76" i="17"/>
  <c r="Q79" i="17" s="1"/>
  <c r="Q80" i="17" s="1"/>
  <c r="P76" i="17"/>
  <c r="P79" i="17" s="1"/>
  <c r="P80" i="17" s="1"/>
  <c r="O75" i="17"/>
  <c r="O74" i="17"/>
  <c r="O73" i="17"/>
  <c r="O71" i="17"/>
  <c r="O70" i="17"/>
  <c r="O69" i="17"/>
  <c r="O68" i="17"/>
  <c r="O67" i="17"/>
  <c r="O66" i="17"/>
  <c r="O65" i="17"/>
  <c r="O64" i="17"/>
  <c r="O63" i="17"/>
  <c r="O61" i="17"/>
  <c r="O60" i="17"/>
  <c r="O59" i="17"/>
  <c r="O58" i="17"/>
  <c r="O57" i="17"/>
  <c r="O56" i="17"/>
  <c r="O55" i="17"/>
  <c r="O54" i="17"/>
  <c r="O53" i="17"/>
  <c r="O52" i="17"/>
  <c r="O51" i="17"/>
  <c r="O50" i="17"/>
  <c r="O49" i="17"/>
  <c r="O48" i="17"/>
  <c r="O47" i="17"/>
  <c r="O46" i="17"/>
  <c r="O45" i="17"/>
  <c r="O44" i="17"/>
  <c r="O43" i="17"/>
  <c r="O42" i="17"/>
  <c r="O41" i="17"/>
  <c r="O40" i="17"/>
  <c r="O39" i="17"/>
  <c r="O37" i="17"/>
  <c r="O36" i="17"/>
  <c r="O35" i="17"/>
  <c r="O34" i="17"/>
  <c r="O33" i="17"/>
  <c r="O32" i="17"/>
  <c r="O31" i="17"/>
  <c r="O30" i="17"/>
  <c r="O29" i="17"/>
  <c r="O28" i="17"/>
  <c r="O27" i="17"/>
  <c r="O26" i="17"/>
  <c r="O25" i="17"/>
  <c r="AD39" i="17"/>
  <c r="AD78" i="17"/>
  <c r="AD77" i="17"/>
  <c r="AH76" i="17"/>
  <c r="AH79" i="17" s="1"/>
  <c r="AG76" i="17"/>
  <c r="AF76" i="17"/>
  <c r="AE76" i="17"/>
  <c r="AD75" i="17"/>
  <c r="AD74" i="17"/>
  <c r="AD73" i="17"/>
  <c r="X76" i="17"/>
  <c r="W76" i="17"/>
  <c r="V76" i="17"/>
  <c r="U76" i="17"/>
  <c r="U79" i="17" s="1"/>
  <c r="AD76" i="17" l="1"/>
  <c r="AH80" i="17"/>
  <c r="AA82" i="17"/>
  <c r="O62" i="17"/>
  <c r="AX62" i="17"/>
  <c r="AX76" i="17"/>
  <c r="AX38" i="17"/>
  <c r="AX72" i="17"/>
  <c r="O76" i="17"/>
  <c r="O72" i="17"/>
  <c r="O38" i="17"/>
  <c r="AF79" i="17"/>
  <c r="AF80" i="17" s="1"/>
  <c r="AG79" i="17"/>
  <c r="AG80" i="17" s="1"/>
  <c r="T78" i="17"/>
  <c r="T77" i="17"/>
  <c r="T75" i="17"/>
  <c r="T74" i="17"/>
  <c r="T73" i="17"/>
  <c r="T71" i="17"/>
  <c r="T70" i="17"/>
  <c r="T69" i="17"/>
  <c r="T68" i="17"/>
  <c r="T67" i="17"/>
  <c r="T66" i="17"/>
  <c r="T65" i="17"/>
  <c r="T64" i="17"/>
  <c r="T63" i="17"/>
  <c r="T61" i="17"/>
  <c r="T60" i="17"/>
  <c r="T59" i="17"/>
  <c r="T58" i="17"/>
  <c r="T57" i="17"/>
  <c r="T56" i="17"/>
  <c r="T55" i="17"/>
  <c r="T54" i="17"/>
  <c r="T53" i="17"/>
  <c r="T52" i="17"/>
  <c r="T51" i="17"/>
  <c r="T50" i="17"/>
  <c r="T49" i="17"/>
  <c r="T48" i="17"/>
  <c r="T47" i="17"/>
  <c r="T46" i="17"/>
  <c r="T45" i="17"/>
  <c r="T44" i="17"/>
  <c r="T43" i="17"/>
  <c r="T42" i="17"/>
  <c r="T41" i="17"/>
  <c r="T40" i="17"/>
  <c r="T39" i="17"/>
  <c r="T37" i="17"/>
  <c r="T36" i="17"/>
  <c r="T35" i="17"/>
  <c r="T34" i="17"/>
  <c r="T33" i="17"/>
  <c r="T32" i="17"/>
  <c r="T31" i="17"/>
  <c r="T30" i="17"/>
  <c r="T29" i="17"/>
  <c r="T28" i="17"/>
  <c r="T27" i="17"/>
  <c r="T26" i="17"/>
  <c r="T25" i="17"/>
  <c r="AU76" i="17"/>
  <c r="AV76" i="17"/>
  <c r="AW76" i="17"/>
  <c r="AT76" i="17"/>
  <c r="AT79" i="17" s="1"/>
  <c r="AT80" i="17" s="1"/>
  <c r="AS78" i="17"/>
  <c r="AS77" i="17"/>
  <c r="AS75" i="17"/>
  <c r="AS74" i="17"/>
  <c r="AS73" i="17"/>
  <c r="AS71" i="17"/>
  <c r="AS70" i="17"/>
  <c r="AS69" i="17"/>
  <c r="AS68" i="17"/>
  <c r="AS67" i="17"/>
  <c r="AS66" i="17"/>
  <c r="AS65" i="17"/>
  <c r="AS64" i="17"/>
  <c r="AS63" i="17"/>
  <c r="AS61" i="17"/>
  <c r="AS60" i="17"/>
  <c r="AS59" i="17"/>
  <c r="AS58" i="17"/>
  <c r="AS57" i="17"/>
  <c r="AS56" i="17"/>
  <c r="AS55" i="17"/>
  <c r="AS54" i="17"/>
  <c r="AS53" i="17"/>
  <c r="AS52" i="17"/>
  <c r="AS51" i="17"/>
  <c r="AS50" i="17"/>
  <c r="AS49" i="17"/>
  <c r="AS48" i="17"/>
  <c r="AS47" i="17"/>
  <c r="AS46" i="17"/>
  <c r="AS45" i="17"/>
  <c r="AS44" i="17"/>
  <c r="AS43" i="17"/>
  <c r="AS42" i="17"/>
  <c r="AS41" i="17"/>
  <c r="AS40" i="17"/>
  <c r="AS39" i="17"/>
  <c r="AS37" i="17"/>
  <c r="AS36" i="17"/>
  <c r="AS35" i="17"/>
  <c r="AS34" i="17"/>
  <c r="AS33" i="17"/>
  <c r="AS32" i="17"/>
  <c r="AS31" i="17"/>
  <c r="AS30" i="17"/>
  <c r="AS29" i="17"/>
  <c r="AS28" i="17"/>
  <c r="AS27" i="17"/>
  <c r="AS26" i="17"/>
  <c r="AS25" i="17"/>
  <c r="AX79" i="17" l="1"/>
  <c r="AX80" i="17" s="1"/>
  <c r="T38" i="17"/>
  <c r="AS62" i="17"/>
  <c r="AS38" i="17"/>
  <c r="AS72" i="17"/>
  <c r="T62" i="17"/>
  <c r="T72" i="17"/>
  <c r="T76" i="17"/>
  <c r="AS76" i="17"/>
  <c r="O79" i="17"/>
  <c r="O80" i="17" s="1"/>
  <c r="Q82" i="17"/>
  <c r="AN78" i="17"/>
  <c r="AN77" i="17"/>
  <c r="AP76" i="17"/>
  <c r="AQ76" i="17"/>
  <c r="AR76" i="17"/>
  <c r="AO76" i="17"/>
  <c r="AN74" i="17"/>
  <c r="AN75" i="17"/>
  <c r="AN73" i="17"/>
  <c r="AN64" i="17"/>
  <c r="AN65" i="17"/>
  <c r="AN66" i="17"/>
  <c r="AN67" i="17"/>
  <c r="AN68" i="17"/>
  <c r="AN69" i="17"/>
  <c r="AN70" i="17"/>
  <c r="AN71" i="17"/>
  <c r="AN63" i="17"/>
  <c r="AN40" i="17"/>
  <c r="AN41" i="17"/>
  <c r="AN42" i="17"/>
  <c r="AN43" i="17"/>
  <c r="AN44" i="17"/>
  <c r="AN45" i="17"/>
  <c r="AN46" i="17"/>
  <c r="AN47" i="17"/>
  <c r="AN48" i="17"/>
  <c r="AN49" i="17"/>
  <c r="AN50" i="17"/>
  <c r="AN51" i="17"/>
  <c r="AN52" i="17"/>
  <c r="AN53" i="17"/>
  <c r="AN54" i="17"/>
  <c r="AN55" i="17"/>
  <c r="AN56" i="17"/>
  <c r="AN57" i="17"/>
  <c r="AN58" i="17"/>
  <c r="AN59" i="17"/>
  <c r="AN60" i="17"/>
  <c r="AN61" i="17"/>
  <c r="AN39" i="17"/>
  <c r="AN27" i="17"/>
  <c r="AN28" i="17"/>
  <c r="AN29" i="17"/>
  <c r="AN30" i="17"/>
  <c r="AN31" i="17"/>
  <c r="AN32" i="17"/>
  <c r="AN33" i="17"/>
  <c r="AN34" i="17"/>
  <c r="AN35" i="17"/>
  <c r="AN36" i="17"/>
  <c r="AN37" i="17"/>
  <c r="AN26" i="17"/>
  <c r="AN25" i="17"/>
  <c r="AR72" i="17"/>
  <c r="AQ72" i="17"/>
  <c r="AP72" i="17"/>
  <c r="AO72" i="17"/>
  <c r="AR62" i="17"/>
  <c r="AQ62" i="17"/>
  <c r="AP62" i="17"/>
  <c r="AO62" i="17"/>
  <c r="AR38" i="17"/>
  <c r="AQ38" i="17"/>
  <c r="AP38" i="17"/>
  <c r="AO38" i="17"/>
  <c r="AW72" i="17"/>
  <c r="AV72" i="17"/>
  <c r="AU72" i="17"/>
  <c r="AW62" i="17"/>
  <c r="AV62" i="17"/>
  <c r="AU62" i="17"/>
  <c r="AW38" i="17"/>
  <c r="AV38" i="17"/>
  <c r="AU38" i="17"/>
  <c r="V72" i="17"/>
  <c r="V62" i="17"/>
  <c r="V38" i="17"/>
  <c r="AK72" i="17"/>
  <c r="AK62" i="17"/>
  <c r="AK38" i="17"/>
  <c r="AK79" i="17" l="1"/>
  <c r="AV79" i="17"/>
  <c r="AV80" i="17" s="1"/>
  <c r="AN72" i="17"/>
  <c r="R82" i="17"/>
  <c r="AS79" i="17"/>
  <c r="AS80" i="17" s="1"/>
  <c r="AZ82" i="17"/>
  <c r="BA82" i="17"/>
  <c r="AP79" i="17"/>
  <c r="AP80" i="17" s="1"/>
  <c r="AN76" i="17"/>
  <c r="AQ79" i="17"/>
  <c r="AQ80" i="17" s="1"/>
  <c r="AW79" i="17"/>
  <c r="AN38" i="17"/>
  <c r="AO79" i="17"/>
  <c r="AO80" i="17" s="1"/>
  <c r="AR79" i="17"/>
  <c r="AR80" i="17" s="1"/>
  <c r="AN62" i="17"/>
  <c r="T79" i="17"/>
  <c r="V79" i="17"/>
  <c r="AU79" i="17"/>
  <c r="AU80" i="17" s="1"/>
  <c r="AK76" i="17"/>
  <c r="AK80" i="17" s="1"/>
  <c r="AV82" i="17" l="1"/>
  <c r="AN79" i="17"/>
  <c r="AN80" i="17" s="1"/>
  <c r="AW80" i="17"/>
  <c r="AP82" i="17"/>
  <c r="AQ82" i="17"/>
  <c r="AI13" i="17"/>
  <c r="AI12" i="17"/>
  <c r="T13" i="17"/>
  <c r="T80" i="17" s="1"/>
  <c r="T12" i="17"/>
  <c r="BK76" i="17"/>
  <c r="BJ76" i="17"/>
  <c r="BM72" i="17"/>
  <c r="BK71" i="17"/>
  <c r="BK70" i="17"/>
  <c r="BK69" i="17"/>
  <c r="BK68" i="17"/>
  <c r="BK67" i="17"/>
  <c r="BK66" i="17"/>
  <c r="BK65" i="17"/>
  <c r="BK64" i="17"/>
  <c r="BK63" i="17"/>
  <c r="BM62" i="17"/>
  <c r="BK61" i="17"/>
  <c r="BK60" i="17"/>
  <c r="BK59" i="17"/>
  <c r="BK58" i="17"/>
  <c r="BK57" i="17"/>
  <c r="BK56" i="17"/>
  <c r="BK55" i="17"/>
  <c r="BK54" i="17"/>
  <c r="BK53" i="17"/>
  <c r="BK52" i="17"/>
  <c r="BK51" i="17"/>
  <c r="BK50" i="17"/>
  <c r="BK49" i="17"/>
  <c r="BK48" i="17"/>
  <c r="BK47" i="17"/>
  <c r="BK46" i="17"/>
  <c r="BK45" i="17"/>
  <c r="BK43" i="17"/>
  <c r="BK42" i="17"/>
  <c r="BK41" i="17"/>
  <c r="BK40" i="17"/>
  <c r="BK39" i="17"/>
  <c r="BM38" i="17"/>
  <c r="BK37" i="17"/>
  <c r="BK36" i="17"/>
  <c r="BK35" i="17"/>
  <c r="BK34" i="17"/>
  <c r="BK33" i="17"/>
  <c r="BK32" i="17"/>
  <c r="BK31" i="17"/>
  <c r="BK30" i="17"/>
  <c r="BK29" i="17"/>
  <c r="BK28" i="17"/>
  <c r="BK27" i="17"/>
  <c r="BK26" i="17"/>
  <c r="BK25" i="17"/>
  <c r="W38" i="17"/>
  <c r="X38" i="17"/>
  <c r="W62" i="17"/>
  <c r="X62" i="17"/>
  <c r="W72" i="17"/>
  <c r="X72" i="17"/>
  <c r="AM75" i="17"/>
  <c r="AJ75" i="17" s="1"/>
  <c r="AM74" i="17"/>
  <c r="AJ74" i="17" s="1"/>
  <c r="AM73" i="17"/>
  <c r="AM72" i="17"/>
  <c r="AL72" i="17"/>
  <c r="AI72" i="17"/>
  <c r="AJ71" i="17"/>
  <c r="AJ70" i="17"/>
  <c r="AJ69" i="17"/>
  <c r="AJ68" i="17"/>
  <c r="AJ67" i="17"/>
  <c r="AJ66" i="17"/>
  <c r="AJ65" i="17"/>
  <c r="AJ64" i="17"/>
  <c r="AJ63" i="17"/>
  <c r="AM62" i="17"/>
  <c r="AL62" i="17"/>
  <c r="AI62" i="17"/>
  <c r="AJ61" i="17"/>
  <c r="AJ60" i="17"/>
  <c r="AJ59" i="17"/>
  <c r="AJ58" i="17"/>
  <c r="AJ57" i="17"/>
  <c r="AJ56" i="17"/>
  <c r="AJ55" i="17"/>
  <c r="AJ54" i="17"/>
  <c r="AJ53" i="17"/>
  <c r="AJ52" i="17"/>
  <c r="AJ51" i="17"/>
  <c r="AJ50" i="17"/>
  <c r="AJ49" i="17"/>
  <c r="AJ48" i="17"/>
  <c r="AJ47" i="17"/>
  <c r="AJ46" i="17"/>
  <c r="AJ45" i="17"/>
  <c r="AJ44" i="17"/>
  <c r="AJ43" i="17"/>
  <c r="AJ42" i="17"/>
  <c r="AJ41" i="17"/>
  <c r="AJ40" i="17"/>
  <c r="AJ39" i="17"/>
  <c r="AM38" i="17"/>
  <c r="AL38" i="17"/>
  <c r="AI38" i="17"/>
  <c r="AJ37" i="17"/>
  <c r="AJ36" i="17"/>
  <c r="AJ35" i="17"/>
  <c r="AJ34" i="17"/>
  <c r="AJ33" i="17"/>
  <c r="AJ32" i="17"/>
  <c r="AJ31" i="17"/>
  <c r="AJ30" i="17"/>
  <c r="AJ29" i="17"/>
  <c r="AJ28" i="17"/>
  <c r="AJ27" i="17"/>
  <c r="AJ26" i="17"/>
  <c r="AJ25" i="17"/>
  <c r="W79" i="17" l="1"/>
  <c r="AL76" i="17"/>
  <c r="AJ38" i="17"/>
  <c r="BM76" i="17"/>
  <c r="BK62" i="17"/>
  <c r="BK72" i="17"/>
  <c r="AI76" i="17"/>
  <c r="BK38" i="17"/>
  <c r="AM76" i="17"/>
  <c r="AJ72" i="17"/>
  <c r="AJ73" i="17"/>
  <c r="AJ62" i="17"/>
  <c r="AI79" i="17"/>
  <c r="AI80" i="17" s="1"/>
  <c r="AL79" i="17"/>
  <c r="AK82" i="17" s="1"/>
  <c r="BM79" i="17"/>
  <c r="AM79" i="17"/>
  <c r="V82" i="17" l="1"/>
  <c r="AM80" i="17"/>
  <c r="BK79" i="17"/>
  <c r="BM80" i="17"/>
  <c r="BK80" i="17" s="1"/>
  <c r="AL80" i="17"/>
  <c r="AJ76" i="17"/>
  <c r="AJ79" i="17"/>
  <c r="AL82" i="17" s="1"/>
  <c r="AJ80" i="17" l="1"/>
  <c r="CQ31" i="15" l="1"/>
  <c r="CQ28" i="15"/>
  <c r="B4" i="4" l="1"/>
  <c r="E22" i="12" l="1"/>
  <c r="BH68" i="18" l="1"/>
  <c r="BH68" i="17"/>
  <c r="D19" i="10" l="1"/>
  <c r="C19" i="10"/>
  <c r="E19" i="10" s="1"/>
  <c r="D17" i="10"/>
  <c r="D16" i="10"/>
  <c r="D14" i="10"/>
  <c r="D11" i="10"/>
  <c r="D10" i="10"/>
  <c r="D9" i="10"/>
  <c r="D8" i="10"/>
  <c r="D7" i="10"/>
  <c r="D6" i="10"/>
  <c r="D18" i="10" l="1"/>
  <c r="I20" i="6" l="1"/>
  <c r="I19" i="6"/>
  <c r="I17" i="6"/>
  <c r="H9" i="6"/>
  <c r="I9" i="6" s="1"/>
  <c r="H8" i="6"/>
  <c r="I8" i="6" s="1"/>
  <c r="H7" i="1"/>
  <c r="H12" i="1"/>
  <c r="F12" i="1"/>
  <c r="G10" i="1"/>
  <c r="F10" i="1"/>
  <c r="E10" i="1"/>
  <c r="G9" i="1"/>
  <c r="F9" i="1"/>
  <c r="E9" i="1"/>
  <c r="H8" i="1"/>
  <c r="G8" i="1"/>
  <c r="F8" i="1"/>
  <c r="E8" i="1"/>
  <c r="G7" i="1"/>
  <c r="F7" i="1"/>
  <c r="E7" i="1"/>
  <c r="G6" i="1"/>
  <c r="E6" i="1"/>
  <c r="H5" i="1"/>
  <c r="F5" i="1"/>
  <c r="E5" i="1"/>
  <c r="I16" i="6" l="1"/>
  <c r="I15" i="6" s="1"/>
  <c r="I7" i="6"/>
  <c r="E11" i="1"/>
  <c r="E14" i="1" s="1"/>
  <c r="G5" i="1"/>
  <c r="G11" i="1" s="1"/>
  <c r="G14" i="1" s="1"/>
  <c r="H6" i="1"/>
  <c r="H9" i="1"/>
  <c r="H10" i="1"/>
  <c r="H11" i="1" l="1"/>
  <c r="H14" i="1" s="1"/>
  <c r="D12" i="6"/>
  <c r="I12" i="6" s="1"/>
  <c r="I11" i="6" s="1"/>
  <c r="D14" i="6" s="1"/>
  <c r="I14" i="6" s="1"/>
  <c r="I13" i="6" s="1"/>
  <c r="G53" i="4"/>
  <c r="H53" i="4"/>
  <c r="F6" i="1"/>
  <c r="F11" i="1" s="1"/>
  <c r="F14" i="1" s="1"/>
  <c r="I21" i="6" l="1"/>
  <c r="I31" i="6" s="1"/>
  <c r="I22" i="6" l="1"/>
  <c r="I23" i="6" s="1"/>
  <c r="I24" i="6" s="1"/>
  <c r="I25" i="6" s="1"/>
  <c r="I32" i="6" l="1"/>
  <c r="I33" i="6" s="1"/>
  <c r="I28" i="6"/>
  <c r="G19" i="4" l="1"/>
  <c r="H19" i="4"/>
  <c r="H43" i="4"/>
  <c r="G43" i="4"/>
  <c r="G57" i="4" s="1"/>
  <c r="G60" i="4" l="1"/>
  <c r="X79" i="17" l="1"/>
  <c r="G82" i="17" s="1"/>
  <c r="W82" i="17" l="1"/>
  <c r="AU82" i="17"/>
  <c r="AD37" i="17"/>
  <c r="AE79" i="17"/>
  <c r="AE80" i="17" s="1"/>
  <c r="AD51" i="17"/>
  <c r="AD44" i="17"/>
  <c r="AD42" i="17"/>
  <c r="AD30" i="17"/>
  <c r="AD52" i="17"/>
  <c r="AD49" i="17"/>
  <c r="AD54" i="17"/>
  <c r="AD48" i="17"/>
  <c r="AD28" i="17"/>
  <c r="AD31" i="17"/>
  <c r="AD67" i="17"/>
  <c r="AD65" i="17"/>
  <c r="AD64" i="17"/>
  <c r="AD45" i="17"/>
  <c r="AD43" i="17"/>
  <c r="AD61" i="17"/>
  <c r="AD35" i="17"/>
  <c r="AD41" i="17"/>
  <c r="AD46" i="17"/>
  <c r="AD26" i="17"/>
  <c r="AD63" i="17"/>
  <c r="AD57" i="17"/>
  <c r="AD32" i="17"/>
  <c r="AD71" i="17"/>
  <c r="AD27" i="17"/>
  <c r="AD66" i="17"/>
  <c r="AD25" i="17"/>
  <c r="AD36" i="17"/>
  <c r="AD53" i="17"/>
  <c r="AD50" i="17"/>
  <c r="AD70" i="17"/>
  <c r="AD60" i="17"/>
  <c r="AD29" i="17"/>
  <c r="AD33" i="17"/>
  <c r="AD59" i="17"/>
  <c r="AD58" i="17"/>
  <c r="AD55" i="17"/>
  <c r="AD34" i="17"/>
  <c r="AD69" i="17"/>
  <c r="AD56" i="17"/>
  <c r="AD68" i="17"/>
  <c r="AD47" i="17"/>
  <c r="AD40" i="17"/>
  <c r="AD72" i="17" l="1"/>
  <c r="AD62" i="17"/>
  <c r="AD38" i="17"/>
  <c r="AD79" i="17" l="1"/>
  <c r="AF82" i="17" s="1"/>
  <c r="AD80" i="17" l="1"/>
  <c r="AG82" i="17"/>
  <c r="E24" i="4" l="1"/>
  <c r="E7" i="4"/>
  <c r="E40" i="4"/>
  <c r="E51" i="4"/>
  <c r="E27" i="4"/>
  <c r="E48" i="4"/>
  <c r="E35" i="4"/>
  <c r="E14" i="4"/>
  <c r="E32" i="4"/>
  <c r="E33" i="4"/>
  <c r="E20" i="4"/>
  <c r="E22" i="4"/>
  <c r="E36" i="4"/>
  <c r="E55" i="4"/>
  <c r="E9" i="4"/>
  <c r="E52" i="4"/>
  <c r="E23" i="4"/>
  <c r="E37" i="4"/>
  <c r="E38" i="4"/>
  <c r="E46" i="4"/>
  <c r="E21" i="4"/>
  <c r="E39" i="4"/>
  <c r="E44" i="4"/>
  <c r="E16" i="4"/>
  <c r="E18" i="4"/>
  <c r="E29" i="4"/>
  <c r="E28" i="4"/>
  <c r="E25" i="4"/>
  <c r="E50" i="4"/>
  <c r="E12" i="4"/>
  <c r="E13" i="4"/>
  <c r="E15" i="4"/>
  <c r="E34" i="4"/>
  <c r="E17" i="4"/>
  <c r="E42" i="4"/>
  <c r="E26" i="4"/>
  <c r="E49" i="4"/>
  <c r="E11" i="4"/>
  <c r="E56" i="4"/>
  <c r="E45" i="4"/>
  <c r="E41" i="4"/>
  <c r="E47" i="4"/>
  <c r="E30" i="4"/>
  <c r="E6" i="4"/>
  <c r="E31" i="4"/>
  <c r="E19" i="4" l="1"/>
  <c r="F19" i="4"/>
  <c r="E43" i="4"/>
  <c r="F43" i="4"/>
  <c r="E7" i="12" s="1"/>
  <c r="D7" i="12" s="1"/>
  <c r="E14" i="12"/>
  <c r="G11" i="12"/>
  <c r="D11" i="12" s="1"/>
  <c r="H57" i="4"/>
  <c r="G10" i="12"/>
  <c r="F53" i="4"/>
  <c r="E53" i="4"/>
  <c r="E13" i="12"/>
  <c r="H59" i="4" l="1"/>
  <c r="G14" i="12" s="1"/>
  <c r="D14" i="12" s="1"/>
  <c r="H58" i="4"/>
  <c r="G13" i="12" s="1"/>
  <c r="D13" i="12" s="1"/>
  <c r="E57" i="4"/>
  <c r="F57" i="4"/>
  <c r="E8" i="12"/>
  <c r="D8" i="12" s="1"/>
  <c r="D9" i="12"/>
  <c r="E6" i="12"/>
  <c r="F60" i="4"/>
  <c r="D10" i="12"/>
  <c r="G12" i="12"/>
  <c r="E60" i="4"/>
  <c r="G15" i="12" l="1"/>
  <c r="G25" i="12" s="1"/>
  <c r="BH65" i="18"/>
  <c r="BH65" i="17"/>
  <c r="BH64" i="18"/>
  <c r="BH64" i="17"/>
  <c r="D6" i="12"/>
  <c r="D12" i="12" s="1"/>
  <c r="E12" i="12"/>
  <c r="E15" i="12" s="1"/>
  <c r="E25" i="12" s="1"/>
  <c r="H60" i="4"/>
  <c r="BH63" i="18" l="1"/>
  <c r="D15" i="12"/>
  <c r="D24" i="12" s="1"/>
  <c r="BH63" i="17"/>
  <c r="BH69" i="18" l="1"/>
  <c r="F24" i="12"/>
  <c r="BH69" i="17"/>
  <c r="D21" i="12"/>
  <c r="BH66" i="17"/>
  <c r="BI63" i="17" s="1"/>
  <c r="BH66" i="18"/>
  <c r="BI63" i="18" s="1"/>
  <c r="BI65" i="18" l="1"/>
  <c r="BI64" i="18"/>
  <c r="F21" i="12"/>
  <c r="F22" i="12" s="1"/>
  <c r="F25" i="12" s="1"/>
  <c r="D22" i="12"/>
  <c r="BI65" i="17"/>
  <c r="BI64" i="17"/>
  <c r="BH67" i="18" l="1"/>
  <c r="BH67" i="17"/>
  <c r="D25" i="12"/>
  <c r="BE70" i="17" l="1"/>
  <c r="BH77" i="17" s="1"/>
  <c r="BE70" i="18"/>
  <c r="BH70" i="17"/>
  <c r="BH70" i="18"/>
  <c r="BI71" i="18" l="1"/>
  <c r="BH76" i="18"/>
  <c r="BH74" i="18"/>
  <c r="BH75" i="18"/>
  <c r="BH77" i="18"/>
  <c r="BH76" i="17"/>
  <c r="BI71" i="17"/>
  <c r="BH74" i="17"/>
  <c r="BH75" i="17"/>
</calcChain>
</file>

<file path=xl/sharedStrings.xml><?xml version="1.0" encoding="utf-8"?>
<sst xmlns="http://schemas.openxmlformats.org/spreadsheetml/2006/main" count="1067" uniqueCount="490">
  <si>
    <t>[별지 제1호 서식]</t>
    <phoneticPr fontId="5" type="noConversion"/>
  </si>
  <si>
    <t>총사업비 산출 총괄표</t>
    <phoneticPr fontId="5" type="noConversion"/>
  </si>
  <si>
    <t>(단위 : 천원)</t>
    <phoneticPr fontId="5" type="noConversion"/>
  </si>
  <si>
    <t>구분</t>
    <phoneticPr fontId="4" type="noConversion"/>
  </si>
  <si>
    <t>분야</t>
    <phoneticPr fontId="4" type="noConversion"/>
  </si>
  <si>
    <t>공종</t>
    <phoneticPr fontId="4" type="noConversion"/>
  </si>
  <si>
    <t>전체</t>
    <phoneticPr fontId="4" type="noConversion"/>
  </si>
  <si>
    <t>감리대상</t>
    <phoneticPr fontId="4" type="noConversion"/>
  </si>
  <si>
    <t>감리제외</t>
    <phoneticPr fontId="4" type="noConversion"/>
  </si>
  <si>
    <t>타법감리</t>
    <phoneticPr fontId="4" type="noConversion"/>
  </si>
  <si>
    <t>총공사비</t>
    <phoneticPr fontId="4" type="noConversion"/>
  </si>
  <si>
    <t>순공사비</t>
    <phoneticPr fontId="4" type="noConversion"/>
  </si>
  <si>
    <t>토목공사</t>
    <phoneticPr fontId="4" type="noConversion"/>
  </si>
  <si>
    <t>건축공사</t>
    <phoneticPr fontId="4" type="noConversion"/>
  </si>
  <si>
    <t>기계설비공사</t>
    <phoneticPr fontId="4" type="noConversion"/>
  </si>
  <si>
    <t>전기공사</t>
    <phoneticPr fontId="4" type="noConversion"/>
  </si>
  <si>
    <t>정보통신공사</t>
    <phoneticPr fontId="4" type="noConversion"/>
  </si>
  <si>
    <t>소방설비공사</t>
    <phoneticPr fontId="4" type="noConversion"/>
  </si>
  <si>
    <t>소 계</t>
    <phoneticPr fontId="4" type="noConversion"/>
  </si>
  <si>
    <t>일반관리비</t>
    <phoneticPr fontId="4" type="noConversion"/>
  </si>
  <si>
    <t>이      윤</t>
    <phoneticPr fontId="4" type="noConversion"/>
  </si>
  <si>
    <t>소       계</t>
    <phoneticPr fontId="4" type="noConversion"/>
  </si>
  <si>
    <t>간접비</t>
    <phoneticPr fontId="4" type="noConversion"/>
  </si>
  <si>
    <t>설계비</t>
    <phoneticPr fontId="4" type="noConversion"/>
  </si>
  <si>
    <t>감리비</t>
    <phoneticPr fontId="4" type="noConversion"/>
  </si>
  <si>
    <t>일반분양시설 경비</t>
    <phoneticPr fontId="4" type="noConversion"/>
  </si>
  <si>
    <t>분담금 및 부담금</t>
    <phoneticPr fontId="4" type="noConversion"/>
  </si>
  <si>
    <t>보상비</t>
    <phoneticPr fontId="4" type="noConversion"/>
  </si>
  <si>
    <t>기타사업비성 경비</t>
    <phoneticPr fontId="4" type="noConversion"/>
  </si>
  <si>
    <t>대  지  비</t>
    <phoneticPr fontId="4" type="noConversion"/>
  </si>
  <si>
    <t>부가가치세액</t>
    <phoneticPr fontId="4" type="noConversion"/>
  </si>
  <si>
    <t>총 사 업 비 계</t>
    <phoneticPr fontId="4" type="noConversion"/>
  </si>
  <si>
    <t xml:space="preserve">       * 대지비 : 대지구입비, 대지 구입 관련 금융비용 및 제세공과금</t>
    <phoneticPr fontId="5" type="noConversion"/>
  </si>
  <si>
    <t xml:space="preserve">       * 기타 사업비성 경비 : 제세공과금, 측량, 교통, 환경 영향평가 수수료, 취득세, 등록세, 건물보존 등기비 및 입주관리비</t>
    <phoneticPr fontId="5" type="noConversion"/>
  </si>
  <si>
    <t xml:space="preserve">       * 분담금 및 부담금 : 인입분담금(가스,전기,수도,지역난방),진입도로, 학교용지확보 부담금</t>
    <phoneticPr fontId="5" type="noConversion"/>
  </si>
  <si>
    <t>전  체</t>
    <phoneticPr fontId="4" type="noConversion"/>
  </si>
  <si>
    <t>공  종</t>
    <phoneticPr fontId="4" type="noConversion"/>
  </si>
  <si>
    <t>분  야</t>
    <phoneticPr fontId="4" type="noConversion"/>
  </si>
  <si>
    <t>구  분</t>
    <phoneticPr fontId="4" type="noConversion"/>
  </si>
  <si>
    <t>전 기 감 리 용 역 비 산 출 내 역</t>
    <phoneticPr fontId="4" type="noConversion"/>
  </si>
  <si>
    <t>용 역 명</t>
    <phoneticPr fontId="4" type="noConversion"/>
  </si>
  <si>
    <t>공사개요</t>
    <phoneticPr fontId="4" type="noConversion"/>
  </si>
  <si>
    <t>적    요</t>
    <phoneticPr fontId="4" type="noConversion"/>
  </si>
  <si>
    <t>"전력기술관리법 운영요령"(산자부고시 제2011-272호 시행11.12.27)
실비정액가산방식</t>
    <phoneticPr fontId="4" type="noConversion"/>
  </si>
  <si>
    <t>구    분</t>
    <phoneticPr fontId="4" type="noConversion"/>
  </si>
  <si>
    <t>산   출   내   역</t>
    <phoneticPr fontId="4" type="noConversion"/>
  </si>
  <si>
    <t>금    액</t>
    <phoneticPr fontId="4" type="noConversion"/>
  </si>
  <si>
    <t>비  고</t>
    <phoneticPr fontId="4" type="noConversion"/>
  </si>
  <si>
    <t xml:space="preserve"> 1.직접인건비</t>
    <phoneticPr fontId="4" type="noConversion"/>
  </si>
  <si>
    <t>배치되는감리원수(인*월) * 등급별 감리원월임금</t>
    <phoneticPr fontId="4" type="noConversion"/>
  </si>
  <si>
    <t>제25조</t>
    <phoneticPr fontId="4" type="noConversion"/>
  </si>
  <si>
    <t>22일/월 기준</t>
    <phoneticPr fontId="4" type="noConversion"/>
  </si>
  <si>
    <t>상주감리원</t>
    <phoneticPr fontId="4" type="noConversion"/>
  </si>
  <si>
    <t>수석감리사</t>
    <phoneticPr fontId="4" type="noConversion"/>
  </si>
  <si>
    <t>수석</t>
    <phoneticPr fontId="4" type="noConversion"/>
  </si>
  <si>
    <t>감리사보</t>
    <phoneticPr fontId="4" type="noConversion"/>
  </si>
  <si>
    <t>비상주
감리원</t>
    <phoneticPr fontId="4" type="noConversion"/>
  </si>
  <si>
    <t>상주감리원 직접인건비의 10%</t>
    <phoneticPr fontId="4" type="noConversion"/>
  </si>
  <si>
    <t>※한국건설감리협회 임금공표 기준</t>
    <phoneticPr fontId="4" type="noConversion"/>
  </si>
  <si>
    <t xml:space="preserve"> 2. 제 경 비</t>
    <phoneticPr fontId="4" type="noConversion"/>
  </si>
  <si>
    <t xml:space="preserve">  직접인건비의 110% ~ 120%</t>
    <phoneticPr fontId="4" type="noConversion"/>
  </si>
  <si>
    <t>제28조</t>
    <phoneticPr fontId="4" type="noConversion"/>
  </si>
  <si>
    <t xml:space="preserve"> 3. 기 술 료</t>
    <phoneticPr fontId="4" type="noConversion"/>
  </si>
  <si>
    <t xml:space="preserve">  (직접인건비+제경비) * 20% ~ 40%</t>
    <phoneticPr fontId="4" type="noConversion"/>
  </si>
  <si>
    <t>제29조</t>
    <phoneticPr fontId="4" type="noConversion"/>
  </si>
  <si>
    <t xml:space="preserve"> 4. 직접경비</t>
    <phoneticPr fontId="4" type="noConversion"/>
  </si>
  <si>
    <t xml:space="preserve">  가) + 나) + 다) + 라) + 마)</t>
    <phoneticPr fontId="4" type="noConversion"/>
  </si>
  <si>
    <t>제27조</t>
    <phoneticPr fontId="4" type="noConversion"/>
  </si>
  <si>
    <t xml:space="preserve">    가) 주재비</t>
    <phoneticPr fontId="4" type="noConversion"/>
  </si>
  <si>
    <t xml:space="preserve">  상주 직접인건비의 30%</t>
    <phoneticPr fontId="4" type="noConversion"/>
  </si>
  <si>
    <t xml:space="preserve">    나) 출장여비</t>
    <phoneticPr fontId="4" type="noConversion"/>
  </si>
  <si>
    <t xml:space="preserve">  비상주 직접인건비의 10%</t>
    <phoneticPr fontId="4" type="noConversion"/>
  </si>
  <si>
    <t xml:space="preserve">    다) 인쇄비</t>
    <phoneticPr fontId="4" type="noConversion"/>
  </si>
  <si>
    <t xml:space="preserve">  월간보고서, 최종보고서, 특별보고서
  유지관리지침서, 설계변경도서 등 1식</t>
    <phoneticPr fontId="4" type="noConversion"/>
  </si>
  <si>
    <t xml:space="preserve">    라) 현지차량비</t>
    <phoneticPr fontId="4" type="noConversion"/>
  </si>
  <si>
    <t xml:space="preserve">    마) 현장 운영경비</t>
    <phoneticPr fontId="4" type="noConversion"/>
  </si>
  <si>
    <t>보통인부1인(75,608원/일, 21개월, 22일/월기준)</t>
    <phoneticPr fontId="4" type="noConversion"/>
  </si>
  <si>
    <t>보통인부</t>
    <phoneticPr fontId="4" type="noConversion"/>
  </si>
  <si>
    <t>(한국건설협회 건설임금실태조사보고서 2009년 하반기 기준)</t>
    <phoneticPr fontId="4" type="noConversion"/>
  </si>
  <si>
    <t xml:space="preserve"> 5. 합    계</t>
    <phoneticPr fontId="4" type="noConversion"/>
  </si>
  <si>
    <t xml:space="preserve">  1 + 2 + 3 + 4</t>
    <phoneticPr fontId="4" type="noConversion"/>
  </si>
  <si>
    <t>(원/일)</t>
    <phoneticPr fontId="4" type="noConversion"/>
  </si>
  <si>
    <t xml:space="preserve"> 6. 감액조정</t>
    <phoneticPr fontId="4" type="noConversion"/>
  </si>
  <si>
    <t>운영요령 제24조 제2항</t>
    <phoneticPr fontId="4" type="noConversion"/>
  </si>
  <si>
    <t>300세대이상 400세대미만 15%, 400세대이상 500세대미만 10%</t>
    <phoneticPr fontId="4" type="noConversion"/>
  </si>
  <si>
    <t xml:space="preserve"> 7. 합    계</t>
    <phoneticPr fontId="4" type="noConversion"/>
  </si>
  <si>
    <t xml:space="preserve"> 8. 부 가 세</t>
    <phoneticPr fontId="4" type="noConversion"/>
  </si>
  <si>
    <t xml:space="preserve"> 9. 기초금액</t>
    <phoneticPr fontId="4" type="noConversion"/>
  </si>
  <si>
    <t>합계 + 부가세</t>
    <phoneticPr fontId="4" type="noConversion"/>
  </si>
  <si>
    <t>※ 부가세포함</t>
    <phoneticPr fontId="4" type="noConversion"/>
  </si>
  <si>
    <t>□  감리원 등급별 임금은 한국건설감리협회가 통계법 제15조 규정에 의하여 공표한 2012년 적용 임금임.</t>
    <phoneticPr fontId="4" type="noConversion"/>
  </si>
  <si>
    <t xml:space="preserve">  할인률(%)</t>
    <phoneticPr fontId="4" type="noConversion"/>
  </si>
  <si>
    <t>- 전력기술관리법 운영요령에 근거하여 산출(지식경제부)</t>
    <phoneticPr fontId="4" type="noConversion"/>
  </si>
  <si>
    <t>- 감리원 임금은 건설공사감리대가기준(국토해양부 고시) 및 한국건설감리협회 공표 근거</t>
    <phoneticPr fontId="4" type="noConversion"/>
  </si>
  <si>
    <t>- 보통인부 임금은 한국건설협회의 건설임금실태조사보고서에 근거</t>
    <phoneticPr fontId="4" type="noConversion"/>
  </si>
  <si>
    <t>의정부 민락2지구 푸르지오 아파트신축 전력시설물공사 감리용역</t>
    <phoneticPr fontId="4" type="noConversion"/>
  </si>
  <si>
    <t xml:space="preserve">아파트 9개동 943세대 지하1층 지상29층 지하주차장 및 부대복리시설 
연면적 133,961,378㎡ </t>
    <phoneticPr fontId="4" type="noConversion"/>
  </si>
  <si>
    <t>900세대 ~  1000세대 미만</t>
    <phoneticPr fontId="4" type="noConversion"/>
  </si>
  <si>
    <t>감 리 용 역 비 내 역 서</t>
    <phoneticPr fontId="4" type="noConversion"/>
  </si>
  <si>
    <t>ㅇ 양주 옥정신도시 대우 푸르지오 아파트 신축공사 전력시설물 감리용역</t>
    <phoneticPr fontId="4" type="noConversion"/>
  </si>
  <si>
    <t>구          분</t>
  </si>
  <si>
    <t>단 위</t>
  </si>
  <si>
    <t>수 량</t>
  </si>
  <si>
    <t>금   액</t>
    <phoneticPr fontId="4" type="noConversion"/>
  </si>
  <si>
    <t>비고</t>
  </si>
  <si>
    <t xml:space="preserve"> </t>
    <phoneticPr fontId="4" type="noConversion"/>
  </si>
  <si>
    <t xml:space="preserve"> 1. 직접인건비</t>
    <phoneticPr fontId="4" type="noConversion"/>
  </si>
  <si>
    <t>식</t>
  </si>
  <si>
    <t xml:space="preserve"> 2. 제 경 비</t>
    <phoneticPr fontId="4" type="noConversion"/>
  </si>
  <si>
    <t xml:space="preserve"> 3. 기 술 료</t>
    <phoneticPr fontId="4" type="noConversion"/>
  </si>
  <si>
    <t xml:space="preserve"> 4. 직 접 경 비</t>
    <phoneticPr fontId="4" type="noConversion"/>
  </si>
  <si>
    <t xml:space="preserve">    가.주재비</t>
    <phoneticPr fontId="4" type="noConversion"/>
  </si>
  <si>
    <t xml:space="preserve">    나.출장비</t>
    <phoneticPr fontId="4" type="noConversion"/>
  </si>
  <si>
    <t xml:space="preserve">    다.현지차량비</t>
    <phoneticPr fontId="4" type="noConversion"/>
  </si>
  <si>
    <t xml:space="preserve">    라.사무원급료</t>
    <phoneticPr fontId="4" type="noConversion"/>
  </si>
  <si>
    <t xml:space="preserve">    마.도서인쇄비</t>
    <phoneticPr fontId="4" type="noConversion"/>
  </si>
  <si>
    <t xml:space="preserve"> 5. 손해배상보험 공제료</t>
    <phoneticPr fontId="4" type="noConversion"/>
  </si>
  <si>
    <t>식</t>
    <phoneticPr fontId="4" type="noConversion"/>
  </si>
  <si>
    <t>소  계</t>
    <phoneticPr fontId="4" type="noConversion"/>
  </si>
  <si>
    <t>VAT</t>
    <phoneticPr fontId="4" type="noConversion"/>
  </si>
  <si>
    <t>합    계(산출감비대가)</t>
    <phoneticPr fontId="4" type="noConversion"/>
  </si>
  <si>
    <t>합    계(적용감리대가)</t>
    <phoneticPr fontId="4" type="noConversion"/>
  </si>
  <si>
    <t>세대</t>
    <phoneticPr fontId="4" type="noConversion"/>
  </si>
  <si>
    <t>[별지 제2호 서식]</t>
    <phoneticPr fontId="5" type="noConversion"/>
  </si>
  <si>
    <t>공종별 총공사비 구성 현황표</t>
    <phoneticPr fontId="5" type="noConversion"/>
  </si>
  <si>
    <t>감리대상</t>
    <phoneticPr fontId="4" type="noConversion"/>
  </si>
  <si>
    <t>감리제외</t>
    <phoneticPr fontId="4" type="noConversion"/>
  </si>
  <si>
    <t>타법감리</t>
    <phoneticPr fontId="4" type="noConversion"/>
  </si>
  <si>
    <t>순공사비</t>
    <phoneticPr fontId="4" type="noConversion"/>
  </si>
  <si>
    <t>토   목</t>
    <phoneticPr fontId="4" type="noConversion"/>
  </si>
  <si>
    <t>토공사</t>
    <phoneticPr fontId="4" type="noConversion"/>
  </si>
  <si>
    <t>(13개 공종)</t>
    <phoneticPr fontId="4" type="noConversion"/>
  </si>
  <si>
    <t>흙막이공사</t>
    <phoneticPr fontId="4" type="noConversion"/>
  </si>
  <si>
    <t>비탈면보호공사</t>
    <phoneticPr fontId="4" type="noConversion"/>
  </si>
  <si>
    <t>옹벽공사</t>
    <phoneticPr fontId="4" type="noConversion"/>
  </si>
  <si>
    <t>석축공사</t>
    <phoneticPr fontId="4" type="noConversion"/>
  </si>
  <si>
    <t>우,오수공사</t>
    <phoneticPr fontId="4" type="noConversion"/>
  </si>
  <si>
    <t>공동구공사</t>
    <phoneticPr fontId="4" type="noConversion"/>
  </si>
  <si>
    <t>지하저수조 및 급수공사</t>
    <phoneticPr fontId="4" type="noConversion"/>
  </si>
  <si>
    <t>도로포장공사</t>
    <phoneticPr fontId="4" type="noConversion"/>
  </si>
  <si>
    <t>교통안전시설물공사</t>
    <phoneticPr fontId="4" type="noConversion"/>
  </si>
  <si>
    <t>정화조시설공사</t>
    <phoneticPr fontId="4" type="noConversion"/>
  </si>
  <si>
    <t>조경공사</t>
    <phoneticPr fontId="4" type="noConversion"/>
  </si>
  <si>
    <t>부대시설공사</t>
    <phoneticPr fontId="4" type="noConversion"/>
  </si>
  <si>
    <t>소   계</t>
    <phoneticPr fontId="4" type="noConversion"/>
  </si>
  <si>
    <t>건   축</t>
    <phoneticPr fontId="4" type="noConversion"/>
  </si>
  <si>
    <t>공통가설물공사</t>
    <phoneticPr fontId="4" type="noConversion"/>
  </si>
  <si>
    <t>(23개 공종)</t>
    <phoneticPr fontId="4" type="noConversion"/>
  </si>
  <si>
    <t>가시설물공사</t>
    <phoneticPr fontId="4" type="noConversion"/>
  </si>
  <si>
    <t>지정 및 기초공사</t>
    <phoneticPr fontId="4" type="noConversion"/>
  </si>
  <si>
    <t>철골공사</t>
    <phoneticPr fontId="4" type="noConversion"/>
  </si>
  <si>
    <t>철근콘크리트공사</t>
    <phoneticPr fontId="4" type="noConversion"/>
  </si>
  <si>
    <t>용접공사</t>
    <phoneticPr fontId="4" type="noConversion"/>
  </si>
  <si>
    <t>조적공사</t>
    <phoneticPr fontId="4" type="noConversion"/>
  </si>
  <si>
    <t>미장공사</t>
    <phoneticPr fontId="4" type="noConversion"/>
  </si>
  <si>
    <t>단열공사</t>
    <phoneticPr fontId="4" type="noConversion"/>
  </si>
  <si>
    <t>방수.방습공사</t>
    <phoneticPr fontId="4" type="noConversion"/>
  </si>
  <si>
    <t>목공사</t>
    <phoneticPr fontId="4" type="noConversion"/>
  </si>
  <si>
    <t>가구공사</t>
    <phoneticPr fontId="4" type="noConversion"/>
  </si>
  <si>
    <t>금속공사</t>
    <phoneticPr fontId="4" type="noConversion"/>
  </si>
  <si>
    <t>지붕 및 홈통공사</t>
    <phoneticPr fontId="4" type="noConversion"/>
  </si>
  <si>
    <t>창호공사</t>
    <phoneticPr fontId="4" type="noConversion"/>
  </si>
  <si>
    <t>유리공사</t>
    <phoneticPr fontId="4" type="noConversion"/>
  </si>
  <si>
    <t>타일공사</t>
    <phoneticPr fontId="4" type="noConversion"/>
  </si>
  <si>
    <t>돌공사</t>
    <phoneticPr fontId="4" type="noConversion"/>
  </si>
  <si>
    <t>도장공사</t>
    <phoneticPr fontId="4" type="noConversion"/>
  </si>
  <si>
    <t>도배공사</t>
    <phoneticPr fontId="4" type="noConversion"/>
  </si>
  <si>
    <t>수장공사</t>
    <phoneticPr fontId="4" type="noConversion"/>
  </si>
  <si>
    <t>주방용구공사</t>
    <phoneticPr fontId="4" type="noConversion"/>
  </si>
  <si>
    <t>잡공사</t>
    <phoneticPr fontId="4" type="noConversion"/>
  </si>
  <si>
    <t>소   계</t>
    <phoneticPr fontId="4" type="noConversion"/>
  </si>
  <si>
    <t>기계설비</t>
    <phoneticPr fontId="4" type="noConversion"/>
  </si>
  <si>
    <t>급수설비공사</t>
    <phoneticPr fontId="4" type="noConversion"/>
  </si>
  <si>
    <t>총사업비</t>
    <phoneticPr fontId="5" type="noConversion"/>
  </si>
  <si>
    <t>총공사비</t>
    <phoneticPr fontId="5" type="noConversion"/>
  </si>
  <si>
    <t>순공사비</t>
    <phoneticPr fontId="5" type="noConversion"/>
  </si>
  <si>
    <t>(9개 공사)</t>
    <phoneticPr fontId="4" type="noConversion"/>
  </si>
  <si>
    <t>급탕설비공사</t>
    <phoneticPr fontId="4" type="noConversion"/>
  </si>
  <si>
    <t>일반관리비</t>
    <phoneticPr fontId="5" type="noConversion"/>
  </si>
  <si>
    <t>이윤</t>
    <phoneticPr fontId="5" type="noConversion"/>
  </si>
  <si>
    <t>위생기구공사</t>
    <phoneticPr fontId="4" type="noConversion"/>
  </si>
  <si>
    <t>계</t>
    <phoneticPr fontId="5" type="noConversion"/>
  </si>
  <si>
    <t>승강기기계공사</t>
    <phoneticPr fontId="4" type="noConversion"/>
  </si>
  <si>
    <t>간접비</t>
    <phoneticPr fontId="5" type="noConversion"/>
  </si>
  <si>
    <t>난방설비공사</t>
    <phoneticPr fontId="4" type="noConversion"/>
  </si>
  <si>
    <t>대지비</t>
    <phoneticPr fontId="5" type="noConversion"/>
  </si>
  <si>
    <t>가스설비공사</t>
    <phoneticPr fontId="4" type="noConversion"/>
  </si>
  <si>
    <t>부가세</t>
    <phoneticPr fontId="5" type="noConversion"/>
  </si>
  <si>
    <t>자동제어설비공사</t>
    <phoneticPr fontId="4" type="noConversion"/>
  </si>
  <si>
    <t>특수설비공사</t>
    <phoneticPr fontId="4" type="noConversion"/>
  </si>
  <si>
    <t>차이</t>
    <phoneticPr fontId="5" type="noConversion"/>
  </si>
  <si>
    <t>전    기 (15개 공사)</t>
    <phoneticPr fontId="4" type="noConversion"/>
  </si>
  <si>
    <t>정보통신 (13개 공사)</t>
    <phoneticPr fontId="4" type="noConversion"/>
  </si>
  <si>
    <t>순공사비 비율</t>
    <phoneticPr fontId="5" type="noConversion"/>
  </si>
  <si>
    <t>소방설비  (2개 공사)</t>
    <phoneticPr fontId="4" type="noConversion"/>
  </si>
  <si>
    <t>총공사비 비율</t>
    <phoneticPr fontId="5" type="noConversion"/>
  </si>
  <si>
    <t>대지비 비율</t>
    <phoneticPr fontId="5" type="noConversion"/>
  </si>
  <si>
    <t>일반관리비</t>
    <phoneticPr fontId="4" type="noConversion"/>
  </si>
  <si>
    <t>간접비 비율</t>
    <phoneticPr fontId="5" type="noConversion"/>
  </si>
  <si>
    <t>이      윤</t>
    <phoneticPr fontId="4" type="noConversion"/>
  </si>
  <si>
    <t>총 공 사 비 계</t>
    <phoneticPr fontId="4" type="noConversion"/>
  </si>
  <si>
    <t>기타사업비성 경비</t>
    <phoneticPr fontId="4" type="noConversion"/>
  </si>
  <si>
    <t>[별지 제1호 서식]</t>
    <phoneticPr fontId="5" type="noConversion"/>
  </si>
  <si>
    <t>(단위:천원)</t>
    <phoneticPr fontId="5" type="noConversion"/>
  </si>
  <si>
    <t>구분</t>
    <phoneticPr fontId="4" type="noConversion"/>
  </si>
  <si>
    <t>분야</t>
    <phoneticPr fontId="4" type="noConversion"/>
  </si>
  <si>
    <t>공종</t>
    <phoneticPr fontId="4" type="noConversion"/>
  </si>
  <si>
    <t>전체</t>
    <phoneticPr fontId="4" type="noConversion"/>
  </si>
  <si>
    <t>감리대상</t>
    <phoneticPr fontId="4" type="noConversion"/>
  </si>
  <si>
    <t>타법감리</t>
    <phoneticPr fontId="4" type="noConversion"/>
  </si>
  <si>
    <t>총공사비</t>
    <phoneticPr fontId="4" type="noConversion"/>
  </si>
  <si>
    <t>순공사비</t>
    <phoneticPr fontId="4" type="noConversion"/>
  </si>
  <si>
    <t>토목공사</t>
    <phoneticPr fontId="4" type="noConversion"/>
  </si>
  <si>
    <t>건축공사</t>
    <phoneticPr fontId="4" type="noConversion"/>
  </si>
  <si>
    <t>기계설비공사</t>
    <phoneticPr fontId="4" type="noConversion"/>
  </si>
  <si>
    <t>전기공사</t>
    <phoneticPr fontId="4" type="noConversion"/>
  </si>
  <si>
    <t>정보통신공사</t>
    <phoneticPr fontId="4" type="noConversion"/>
  </si>
  <si>
    <t>소방설비공사</t>
    <phoneticPr fontId="4" type="noConversion"/>
  </si>
  <si>
    <t>소 계</t>
    <phoneticPr fontId="4" type="noConversion"/>
  </si>
  <si>
    <t>일반관리비</t>
    <phoneticPr fontId="4" type="noConversion"/>
  </si>
  <si>
    <t>이  윤</t>
    <phoneticPr fontId="4" type="noConversion"/>
  </si>
  <si>
    <t>소       계</t>
    <phoneticPr fontId="4" type="noConversion"/>
  </si>
  <si>
    <t>간접비</t>
    <phoneticPr fontId="4" type="noConversion"/>
  </si>
  <si>
    <t>설계비</t>
    <phoneticPr fontId="4" type="noConversion"/>
  </si>
  <si>
    <t>감리비</t>
    <phoneticPr fontId="4" type="noConversion"/>
  </si>
  <si>
    <t>일반분양시설 경비</t>
    <phoneticPr fontId="4" type="noConversion"/>
  </si>
  <si>
    <t>분담금 및 부담금</t>
    <phoneticPr fontId="4" type="noConversion"/>
  </si>
  <si>
    <t>보상비</t>
    <phoneticPr fontId="4" type="noConversion"/>
  </si>
  <si>
    <t>소       계</t>
    <phoneticPr fontId="4" type="noConversion"/>
  </si>
  <si>
    <t>대  지  비</t>
    <phoneticPr fontId="4" type="noConversion"/>
  </si>
  <si>
    <t>부가가치세액</t>
    <phoneticPr fontId="4" type="noConversion"/>
  </si>
  <si>
    <t>총 사 업 비 계</t>
    <phoneticPr fontId="4" type="noConversion"/>
  </si>
  <si>
    <t>총사업비 산출 총괄표</t>
    <phoneticPr fontId="5" type="noConversion"/>
  </si>
  <si>
    <t>오배수 및  통기설비공사</t>
    <phoneticPr fontId="4" type="noConversion"/>
  </si>
  <si>
    <t>주 1 : 순공사비란 재료비, 노무비, 경비를 합한 금액임.</t>
    <phoneticPr fontId="5" type="noConversion"/>
  </si>
  <si>
    <t xml:space="preserve">    2 : 일반관리비와 이윤에 대한 정의 및 산정 방법은 "원가계산에 의한 예정가격작성 준칙(회계예규)"에 따름</t>
    <phoneticPr fontId="5" type="noConversion"/>
  </si>
  <si>
    <t xml:space="preserve">    3 : 부가가치세액의 정의와 산정방법은 "부가가치세법"에 따름</t>
    <phoneticPr fontId="5" type="noConversion"/>
  </si>
  <si>
    <t>계</t>
    <phoneticPr fontId="4" type="noConversion"/>
  </si>
  <si>
    <t>소방공사</t>
    <phoneticPr fontId="4" type="noConversion"/>
  </si>
  <si>
    <t>정보통신공사</t>
    <phoneticPr fontId="4" type="noConversion"/>
  </si>
  <si>
    <t>설비공사</t>
    <phoneticPr fontId="4" type="noConversion"/>
  </si>
  <si>
    <t>구조체공사</t>
    <phoneticPr fontId="4" type="noConversion"/>
  </si>
  <si>
    <t>건축공사</t>
    <phoneticPr fontId="4" type="noConversion"/>
  </si>
  <si>
    <t>토목공사</t>
    <phoneticPr fontId="4" type="noConversion"/>
  </si>
  <si>
    <t>전체공정</t>
    <phoneticPr fontId="4" type="noConversion"/>
  </si>
  <si>
    <t>개월수</t>
    <phoneticPr fontId="4" type="noConversion"/>
  </si>
  <si>
    <t>월</t>
    <phoneticPr fontId="4" type="noConversion"/>
  </si>
  <si>
    <t>비     고</t>
    <phoneticPr fontId="4" type="noConversion"/>
  </si>
  <si>
    <t>2021년</t>
    <phoneticPr fontId="87" type="noConversion"/>
  </si>
  <si>
    <t>2020년</t>
    <phoneticPr fontId="87" type="noConversion"/>
  </si>
  <si>
    <t>2019년</t>
    <phoneticPr fontId="87" type="noConversion"/>
  </si>
  <si>
    <t>년도</t>
    <phoneticPr fontId="4" type="noConversion"/>
  </si>
  <si>
    <t>조경공사</t>
    <phoneticPr fontId="4" type="noConversion"/>
  </si>
  <si>
    <t>대지면적</t>
    <phoneticPr fontId="4" type="noConversion"/>
  </si>
  <si>
    <t>연면적</t>
    <phoneticPr fontId="4" type="noConversion"/>
  </si>
  <si>
    <t>총사업비</t>
    <phoneticPr fontId="4" type="noConversion"/>
  </si>
  <si>
    <t>대지비</t>
    <phoneticPr fontId="4" type="noConversion"/>
  </si>
  <si>
    <t>감리대상 공사비</t>
    <phoneticPr fontId="4" type="noConversion"/>
  </si>
  <si>
    <t>타법감리대상공사비</t>
    <phoneticPr fontId="4" type="noConversion"/>
  </si>
  <si>
    <t>공사명</t>
    <phoneticPr fontId="4" type="noConversion"/>
  </si>
  <si>
    <t>건설사</t>
    <phoneticPr fontId="4" type="noConversion"/>
  </si>
  <si>
    <t>설계사</t>
    <phoneticPr fontId="4" type="noConversion"/>
  </si>
  <si>
    <t>위치</t>
    <phoneticPr fontId="4" type="noConversion"/>
  </si>
  <si>
    <t>규 모</t>
    <phoneticPr fontId="4" type="noConversion"/>
  </si>
  <si>
    <t>세대수</t>
    <phoneticPr fontId="4" type="noConversion"/>
  </si>
  <si>
    <t>공사기간</t>
    <phoneticPr fontId="4" type="noConversion"/>
  </si>
  <si>
    <t>사업승인일</t>
    <phoneticPr fontId="4" type="noConversion"/>
  </si>
  <si>
    <t xml:space="preserve">대지면적 </t>
    <phoneticPr fontId="4" type="noConversion"/>
  </si>
  <si>
    <t>인천 검단신도시 AA4블록 유승한내들 공동주택 신축공사</t>
    <phoneticPr fontId="4" type="noConversion"/>
  </si>
  <si>
    <t>㈜유승종합건설 대표이사 민광옥(☎032-524-8822)</t>
    <phoneticPr fontId="4" type="noConversion"/>
  </si>
  <si>
    <t>㈜유선엔지니어링건축사사무소 대표이사 조영돈(☎02-2189-5850)</t>
    <phoneticPr fontId="4" type="noConversion"/>
  </si>
  <si>
    <t>인천광역시 서구 당하동 검단신도시 AA4블록</t>
    <phoneticPr fontId="4" type="noConversion"/>
  </si>
  <si>
    <t>57,122㎡</t>
    <phoneticPr fontId="4" type="noConversion"/>
  </si>
  <si>
    <t>153,713.4289㎡(용적률 184.82%)</t>
    <phoneticPr fontId="4" type="noConversion"/>
  </si>
  <si>
    <t>지하3층/지상24~25층 공동주택(아파트) 10개동 및 부대·복리시설</t>
    <phoneticPr fontId="4" type="noConversion"/>
  </si>
  <si>
    <t>938세대</t>
    <phoneticPr fontId="4" type="noConversion"/>
  </si>
  <si>
    <t>2018.10. ~ 2021.08.(착공 후 35개월)</t>
    <phoneticPr fontId="4" type="noConversion"/>
  </si>
  <si>
    <t>2018. 08. 03.</t>
    <phoneticPr fontId="4" type="noConversion"/>
  </si>
  <si>
    <t>346,520,492천원</t>
    <phoneticPr fontId="4" type="noConversion"/>
  </si>
  <si>
    <t>127,457,472천원</t>
    <phoneticPr fontId="4" type="noConversion"/>
  </si>
  <si>
    <t>139,465,000천원(타법공사비 포함)</t>
    <phoneticPr fontId="4" type="noConversion"/>
  </si>
  <si>
    <t>123,996,551천원(일반관리비, 이윤 포함)</t>
    <phoneticPr fontId="4" type="noConversion"/>
  </si>
  <si>
    <t>15,468,449천원(일반관리비, 이윤 포함)</t>
    <phoneticPr fontId="4" type="noConversion"/>
  </si>
  <si>
    <t>원당동 검단신도시 AB16블록 공동주택 신축공사</t>
    <phoneticPr fontId="4" type="noConversion"/>
  </si>
  <si>
    <t>㈜대우건설 대표이사 김형(☏02-2288-3114)</t>
    <phoneticPr fontId="4" type="noConversion"/>
  </si>
  <si>
    <t>㈜정림건축종합건축사사무소 대표이사 임진우(☏02-708-8600)</t>
    <phoneticPr fontId="4" type="noConversion"/>
  </si>
  <si>
    <t>인천광역시 서구 원당동 검단신도시 AB16블록</t>
    <phoneticPr fontId="4" type="noConversion"/>
  </si>
  <si>
    <t>85,540㎡</t>
    <phoneticPr fontId="4" type="noConversion"/>
  </si>
  <si>
    <t>284,130.39㎡(용적률 207.83%)</t>
    <phoneticPr fontId="4" type="noConversion"/>
  </si>
  <si>
    <t>지하2층/지상18~29층(16개동), 공동주택/근린생활시설</t>
    <phoneticPr fontId="4" type="noConversion"/>
  </si>
  <si>
    <t>1,540세대</t>
    <phoneticPr fontId="4" type="noConversion"/>
  </si>
  <si>
    <t>2018.12. ~ 2021.6.(31개월)</t>
    <phoneticPr fontId="4" type="noConversion"/>
  </si>
  <si>
    <t>2018. 11. 2.</t>
    <phoneticPr fontId="4" type="noConversion"/>
  </si>
  <si>
    <t>675,048,794천원</t>
    <phoneticPr fontId="4" type="noConversion"/>
  </si>
  <si>
    <r>
      <t>226,554,131</t>
    </r>
    <r>
      <rPr>
        <sz val="11"/>
        <color rgb="FF000000"/>
        <rFont val="굴림체"/>
        <family val="3"/>
        <charset val="129"/>
      </rPr>
      <t>천원</t>
    </r>
  </si>
  <si>
    <t>272,450,247천원(일반관리비, 이윤포함)</t>
    <phoneticPr fontId="4" type="noConversion"/>
  </si>
  <si>
    <t>231,401,077천원</t>
    <phoneticPr fontId="4" type="noConversion"/>
  </si>
  <si>
    <t>41,049,170천원</t>
    <phoneticPr fontId="4" type="noConversion"/>
  </si>
  <si>
    <t>전기감리</t>
    <phoneticPr fontId="4" type="noConversion"/>
  </si>
  <si>
    <t>인천검단 AB-4블럭 대방노블랜드 건설공사</t>
    <phoneticPr fontId="4" type="noConversion"/>
  </si>
  <si>
    <t>대방건설㈜ 대표이사 구찬우 (☏031-920-3807)</t>
    <phoneticPr fontId="4" type="noConversion"/>
  </si>
  <si>
    <t>㈜현대건축사사무소 대표이사 조연성 (☏062-528-0101)</t>
    <phoneticPr fontId="4" type="noConversion"/>
  </si>
  <si>
    <t>인천광역시 서구 원당동 검단신도시 AB4블록</t>
    <phoneticPr fontId="4" type="noConversion"/>
  </si>
  <si>
    <t>69,448㎡</t>
    <phoneticPr fontId="4" type="noConversion"/>
  </si>
  <si>
    <t>222,390.1418㎡(용적률 209.99%)</t>
    <phoneticPr fontId="4" type="noConversion"/>
  </si>
  <si>
    <t>지하2층/지상25층(15개동), 공동주택/부대복리시설</t>
    <phoneticPr fontId="4" type="noConversion"/>
  </si>
  <si>
    <t>1,279세대</t>
    <phoneticPr fontId="4" type="noConversion"/>
  </si>
  <si>
    <t>2019.02.14.~ 2021.11.13.(33개월)</t>
    <phoneticPr fontId="4" type="noConversion"/>
  </si>
  <si>
    <t>2018. 12. 7.</t>
    <phoneticPr fontId="4" type="noConversion"/>
  </si>
  <si>
    <t>557,402,785천원</t>
    <phoneticPr fontId="4" type="noConversion"/>
  </si>
  <si>
    <t>175,897,023천원</t>
    <phoneticPr fontId="4" type="noConversion"/>
  </si>
  <si>
    <t>214,600,073천원(일반관리비, 이윤포함)</t>
    <phoneticPr fontId="4" type="noConversion"/>
  </si>
  <si>
    <t>188,912,923천원</t>
    <phoneticPr fontId="4" type="noConversion"/>
  </si>
  <si>
    <t>25,687,150천원</t>
    <phoneticPr fontId="4" type="noConversion"/>
  </si>
  <si>
    <t>원당동 검단신도시 AB6블록 공동주택 신축공사</t>
    <phoneticPr fontId="4" type="noConversion"/>
  </si>
  <si>
    <t>한신공영(주) 대표  태기전, 최문규 (☏02-3393-3313)</t>
    <phoneticPr fontId="4" type="noConversion"/>
  </si>
  <si>
    <t>㈜티씨엠씨 건축사사무소  대표이사 김태영 (☏032-427-1115)</t>
    <phoneticPr fontId="4" type="noConversion"/>
  </si>
  <si>
    <t>인천광역시 서구 원당동 검단신도시 AB6블록</t>
    <phoneticPr fontId="4" type="noConversion"/>
  </si>
  <si>
    <t>45,732㎡</t>
    <phoneticPr fontId="4" type="noConversion"/>
  </si>
  <si>
    <t>143,911.6847㎡(용적률 214.96%)</t>
    <phoneticPr fontId="4" type="noConversion"/>
  </si>
  <si>
    <t>지하2층/지상27층(9개동), 공동주택/근린생활시설</t>
    <phoneticPr fontId="4" type="noConversion"/>
  </si>
  <si>
    <t>936세대</t>
    <phoneticPr fontId="4" type="noConversion"/>
  </si>
  <si>
    <t>2018.12. ~ 2021.8.(33개월)</t>
    <phoneticPr fontId="4" type="noConversion"/>
  </si>
  <si>
    <t>2018. 11. 7.</t>
    <phoneticPr fontId="4" type="noConversion"/>
  </si>
  <si>
    <t>359,000,000천원</t>
    <phoneticPr fontId="4" type="noConversion"/>
  </si>
  <si>
    <t>108,000,000천원</t>
    <phoneticPr fontId="4" type="noConversion"/>
  </si>
  <si>
    <t>147,794,836천원(일반관리비, 이윤포함)</t>
    <phoneticPr fontId="4" type="noConversion"/>
  </si>
  <si>
    <t>123,422,836천원</t>
    <phoneticPr fontId="4" type="noConversion"/>
  </si>
  <si>
    <t>15,813,722천원</t>
    <phoneticPr fontId="4" type="noConversion"/>
  </si>
  <si>
    <t>원당동 검단신도시 AB15-1블록 공동주택(아파트) 신축공사</t>
    <phoneticPr fontId="4" type="noConversion"/>
  </si>
  <si>
    <t>우미건설㈜ (☏1588-9950)</t>
    <phoneticPr fontId="4" type="noConversion"/>
  </si>
  <si>
    <t>에이앤유디자인그룹건축사사무소㈜ 대표이사 오성제(☏02-2047-3000)</t>
    <phoneticPr fontId="4" type="noConversion"/>
  </si>
  <si>
    <t>원당동 검단신도시 AB15-1블록</t>
    <phoneticPr fontId="4" type="noConversion"/>
  </si>
  <si>
    <t>65,087㎡</t>
    <phoneticPr fontId="4" type="noConversion"/>
  </si>
  <si>
    <t>198,931.2606㎡(용적률 211.77%)</t>
    <phoneticPr fontId="4" type="noConversion"/>
  </si>
  <si>
    <t>지하2층/지상29층(13개동), 공동주택/근린생활시설</t>
    <phoneticPr fontId="4" type="noConversion"/>
  </si>
  <si>
    <t>1,268세대</t>
    <phoneticPr fontId="4" type="noConversion"/>
  </si>
  <si>
    <t>2018.12. ~ 2021.12.(37개월)</t>
    <phoneticPr fontId="4" type="noConversion"/>
  </si>
  <si>
    <t>2018. 11. 1.</t>
    <phoneticPr fontId="4" type="noConversion"/>
  </si>
  <si>
    <t>512,342,530천원</t>
    <phoneticPr fontId="4" type="noConversion"/>
  </si>
  <si>
    <t>162,885,625천원</t>
    <phoneticPr fontId="4" type="noConversion"/>
  </si>
  <si>
    <t>204,073,260천원(일반관리비, 이윤포함)</t>
    <phoneticPr fontId="4" type="noConversion"/>
  </si>
  <si>
    <t>170,724,853천원</t>
    <phoneticPr fontId="4" type="noConversion"/>
  </si>
  <si>
    <t>33,348,407천원</t>
    <phoneticPr fontId="4" type="noConversion"/>
  </si>
  <si>
    <t>원당동 검단신도시 AB15-2블록 공동주택(아파트) 신축공사</t>
    <phoneticPr fontId="4" type="noConversion"/>
  </si>
  <si>
    <t>광주광역시 남구 중앙로 87 ㈜호반건설주식회사</t>
    <phoneticPr fontId="4" type="noConversion"/>
  </si>
  <si>
    <t>㈜토담건축사사무소 대표이사 오준석(☏062-374-7311)</t>
    <phoneticPr fontId="4" type="noConversion"/>
  </si>
  <si>
    <t>원당동 검단신도시 AB15-2블록</t>
    <phoneticPr fontId="4" type="noConversion"/>
  </si>
  <si>
    <t>59,667㎡</t>
    <phoneticPr fontId="4" type="noConversion"/>
  </si>
  <si>
    <t>177,663.0224㎡(용적률 208.77%)</t>
    <phoneticPr fontId="4" type="noConversion"/>
  </si>
  <si>
    <t>지하2층/지상27층(16개동), 공동주택/근린생활시설</t>
    <phoneticPr fontId="4" type="noConversion"/>
  </si>
  <si>
    <t>1,168세대</t>
    <phoneticPr fontId="4" type="noConversion"/>
  </si>
  <si>
    <t>2018.09. ~ 2021.5.(33개월)</t>
    <phoneticPr fontId="4" type="noConversion"/>
  </si>
  <si>
    <t>2018. 07. 26.</t>
    <phoneticPr fontId="4" type="noConversion"/>
  </si>
  <si>
    <t>481,840,670천원</t>
    <phoneticPr fontId="4" type="noConversion"/>
  </si>
  <si>
    <t>155,228,160천원</t>
    <phoneticPr fontId="4" type="noConversion"/>
  </si>
  <si>
    <t>161,417,706천원(일반관리비, 이윤포함)</t>
    <phoneticPr fontId="4" type="noConversion"/>
  </si>
  <si>
    <t>121,063,279천원</t>
    <phoneticPr fontId="4" type="noConversion"/>
  </si>
  <si>
    <t>40,354,427천원</t>
    <phoneticPr fontId="4" type="noConversion"/>
  </si>
  <si>
    <t>인천 루원시티 주상1,2블록 주상복합 신축공사</t>
    <phoneticPr fontId="4" type="noConversion"/>
  </si>
  <si>
    <t xml:space="preserve">에스케이건설(주) 대표이사 조기행(☎02-3700-7114) </t>
    <phoneticPr fontId="4" type="noConversion"/>
  </si>
  <si>
    <t>㈜이안디자인건축사사무소 대표이사 장성열(☎02-588-9188)</t>
    <phoneticPr fontId="4" type="noConversion"/>
  </si>
  <si>
    <t>인천광역시 서구 가정동 루원시티 주상1,2블록</t>
    <phoneticPr fontId="4" type="noConversion"/>
  </si>
  <si>
    <t>70,422㎡</t>
    <phoneticPr fontId="4" type="noConversion"/>
  </si>
  <si>
    <t>466,221.1759㎡(용적률 439.64%)</t>
    <phoneticPr fontId="4" type="noConversion"/>
  </si>
  <si>
    <t>아파트 2,378세대, 오피스텔 726호</t>
    <phoneticPr fontId="4" type="noConversion"/>
  </si>
  <si>
    <t>2018.10. ~ 2022.01.(착공 후 39개월)</t>
    <phoneticPr fontId="4" type="noConversion"/>
  </si>
  <si>
    <t>2018. 08. 02.</t>
    <phoneticPr fontId="4" type="noConversion"/>
  </si>
  <si>
    <t>1,231,323,934천원</t>
    <phoneticPr fontId="4" type="noConversion"/>
  </si>
  <si>
    <t>343,861,314천원</t>
  </si>
  <si>
    <t>559,535,000천원(타법공사비 포함)</t>
    <phoneticPr fontId="4" type="noConversion"/>
  </si>
  <si>
    <t>442,050,360천원(일반관리비, 이윤 포함)</t>
    <phoneticPr fontId="4" type="noConversion"/>
  </si>
  <si>
    <t>117,484,639천원(일반관리비, 이윤 포함)</t>
    <phoneticPr fontId="4" type="noConversion"/>
  </si>
  <si>
    <t>마전지구 지역주택조합 공동주택(아파트) 신축공사</t>
    <phoneticPr fontId="4" type="noConversion"/>
  </si>
  <si>
    <t>양우건설 주식회사 대표이사 고삼상, 고문철 (☏ 02-2679-5200)</t>
    <phoneticPr fontId="4" type="noConversion"/>
  </si>
  <si>
    <t>㈜성도 건축사사무소 대표자 신현배 (☏ 032-467-1144)</t>
    <phoneticPr fontId="4" type="noConversion"/>
  </si>
  <si>
    <t>인천광역시 서구 마전지구 17BL-2LOT 외 4필지</t>
    <phoneticPr fontId="4" type="noConversion"/>
  </si>
  <si>
    <t>23,841.00㎡</t>
    <phoneticPr fontId="4" type="noConversion"/>
  </si>
  <si>
    <t>75,776.9324㎡(용적률 215.26%)</t>
    <phoneticPr fontId="4" type="noConversion"/>
  </si>
  <si>
    <t>지하3층/지상18층(7개동), 공동주택/근린생활시설</t>
    <phoneticPr fontId="4" type="noConversion"/>
  </si>
  <si>
    <t>545세대</t>
    <phoneticPr fontId="4" type="noConversion"/>
  </si>
  <si>
    <t>2018.10.15. ~ 2021.4.15.(30개월)</t>
    <phoneticPr fontId="4" type="noConversion"/>
  </si>
  <si>
    <t>2018. 08. 09.</t>
    <phoneticPr fontId="4" type="noConversion"/>
  </si>
  <si>
    <t>134,818,012천원</t>
    <phoneticPr fontId="4" type="noConversion"/>
  </si>
  <si>
    <t>35,412,956천원</t>
    <phoneticPr fontId="4" type="noConversion"/>
  </si>
  <si>
    <t>82,365,920천원(일반관리비, 이윤포함)</t>
    <phoneticPr fontId="4" type="noConversion"/>
  </si>
  <si>
    <t>74,009,074천원</t>
    <phoneticPr fontId="4" type="noConversion"/>
  </si>
  <si>
    <t>8,356,846천원</t>
    <phoneticPr fontId="4" type="noConversion"/>
  </si>
  <si>
    <t>비고</t>
    <phoneticPr fontId="4" type="noConversion"/>
  </si>
  <si>
    <t>총 공 사 평 당 공 사 비</t>
    <phoneticPr fontId="4" type="noConversion"/>
  </si>
  <si>
    <t>공사범위</t>
    <phoneticPr fontId="4" type="noConversion"/>
  </si>
  <si>
    <t>전기공사 제외</t>
    <phoneticPr fontId="4" type="noConversion"/>
  </si>
  <si>
    <t>지하4층/지상37~45층 공동주택(아파트) 11개동 및 부대·복리시설, 
업무시설 (오피스텔) 1개동</t>
    <phoneticPr fontId="4" type="noConversion"/>
  </si>
  <si>
    <t>1.전  체</t>
    <phoneticPr fontId="4" type="noConversion"/>
  </si>
  <si>
    <t>2.전  체</t>
    <phoneticPr fontId="4" type="noConversion"/>
  </si>
  <si>
    <t>3.전  체</t>
    <phoneticPr fontId="4" type="noConversion"/>
  </si>
  <si>
    <t>4.전  체</t>
    <phoneticPr fontId="4" type="noConversion"/>
  </si>
  <si>
    <t>5.전  체</t>
    <phoneticPr fontId="4" type="noConversion"/>
  </si>
  <si>
    <t>6.전  체</t>
    <phoneticPr fontId="4" type="noConversion"/>
  </si>
  <si>
    <t>7.전  체</t>
    <phoneticPr fontId="4" type="noConversion"/>
  </si>
  <si>
    <t>0.전  체</t>
    <phoneticPr fontId="4" type="noConversion"/>
  </si>
  <si>
    <t>인천검단지구AA11블럭 공동주택 신축공사</t>
    <phoneticPr fontId="4" type="noConversion"/>
  </si>
  <si>
    <t>금성백조건설</t>
    <phoneticPr fontId="4" type="noConversion"/>
  </si>
  <si>
    <t>디에이그룹엔지니어링 종합건축사사무소</t>
    <phoneticPr fontId="4" type="noConversion"/>
  </si>
  <si>
    <t>인천광역시 서구 원당동 284번지 일대</t>
    <phoneticPr fontId="4" type="noConversion"/>
  </si>
  <si>
    <t>76,618㎡</t>
    <phoneticPr fontId="4" type="noConversion"/>
  </si>
  <si>
    <t>205,060.9471㎡(용적률 186.98%)</t>
    <phoneticPr fontId="4" type="noConversion"/>
  </si>
  <si>
    <t>지하2층/지상20~25층(14개동), 공동주택/근린생활시설</t>
    <phoneticPr fontId="4" type="noConversion"/>
  </si>
  <si>
    <t>1,249세대</t>
    <phoneticPr fontId="4" type="noConversion"/>
  </si>
  <si>
    <t>2019.05. ~ 2021.11.(33개월)</t>
    <phoneticPr fontId="4" type="noConversion"/>
  </si>
  <si>
    <t>2018. 03. 30.</t>
    <phoneticPr fontId="4" type="noConversion"/>
  </si>
  <si>
    <t>1.전  체 보할</t>
    <phoneticPr fontId="4" type="noConversion"/>
  </si>
  <si>
    <t>★.전  체</t>
    <phoneticPr fontId="4" type="noConversion"/>
  </si>
  <si>
    <t xml:space="preserve"> ㈜호반건설주식회사</t>
    <phoneticPr fontId="4" type="noConversion"/>
  </si>
  <si>
    <t>㈜유승종합건설 대표이사</t>
    <phoneticPr fontId="4" type="noConversion"/>
  </si>
  <si>
    <t xml:space="preserve">양우건설 주식회사 </t>
    <phoneticPr fontId="4" type="noConversion"/>
  </si>
  <si>
    <t xml:space="preserve">우미건설㈜ </t>
    <phoneticPr fontId="4" type="noConversion"/>
  </si>
  <si>
    <t xml:space="preserve">㈜대우건설 </t>
    <phoneticPr fontId="4" type="noConversion"/>
  </si>
  <si>
    <t>한신공영㈜</t>
    <phoneticPr fontId="4" type="noConversion"/>
  </si>
  <si>
    <t xml:space="preserve">대방건설㈜ </t>
    <phoneticPr fontId="4" type="noConversion"/>
  </si>
  <si>
    <t xml:space="preserve">에스케이건설(주) </t>
    <phoneticPr fontId="4" type="noConversion"/>
  </si>
  <si>
    <t xml:space="preserve">㈜이안디자인건축사사무소 </t>
    <phoneticPr fontId="4" type="noConversion"/>
  </si>
  <si>
    <t xml:space="preserve">㈜현대건축사사무소 </t>
    <phoneticPr fontId="4" type="noConversion"/>
  </si>
  <si>
    <t xml:space="preserve">㈜티씨엠씨 건축사사무소  </t>
    <phoneticPr fontId="4" type="noConversion"/>
  </si>
  <si>
    <t xml:space="preserve">㈜정림건축종합건축사사무소 </t>
    <phoneticPr fontId="4" type="noConversion"/>
  </si>
  <si>
    <t xml:space="preserve">에이앤유디자인그룹건축사사무소㈜ </t>
    <phoneticPr fontId="4" type="noConversion"/>
  </si>
  <si>
    <t>㈜성도 건축사사무소</t>
    <phoneticPr fontId="4" type="noConversion"/>
  </si>
  <si>
    <t>㈜유선엔지니어링건축사사무소</t>
    <phoneticPr fontId="4" type="noConversion"/>
  </si>
  <si>
    <t xml:space="preserve">㈜토담건축사사무소 </t>
    <phoneticPr fontId="4" type="noConversion"/>
  </si>
  <si>
    <t>2019.05. ~ 2021.11.(33개월)</t>
    <phoneticPr fontId="4" type="noConversion"/>
  </si>
  <si>
    <t>2019. 03. 30. 예정</t>
    <phoneticPr fontId="4" type="noConversion"/>
  </si>
  <si>
    <t xml:space="preserve">  ▣ 착공예정일 : 2019년 11월 01일</t>
    <phoneticPr fontId="4" type="noConversion"/>
  </si>
  <si>
    <t xml:space="preserve">  ▣ 공 사 기 간 : 2019년 11월 01일~ 2022년 5월 31일 (31개월)</t>
    <phoneticPr fontId="4" type="noConversion"/>
  </si>
  <si>
    <t>2022년</t>
    <phoneticPr fontId="4" type="noConversion"/>
  </si>
  <si>
    <t>2019.11.01 ~ 2022.5.31
(31개월)</t>
    <phoneticPr fontId="4" type="noConversion"/>
  </si>
  <si>
    <t>2019.11.01 ~ 2020.07.31
2021.05.01 ~ 2022.05.31
(22개월)</t>
    <phoneticPr fontId="87" type="noConversion"/>
  </si>
  <si>
    <t>2021.08.01 ~ 2022.05.31
(10개월)</t>
    <phoneticPr fontId="87" type="noConversion"/>
  </si>
  <si>
    <t>2020.03.01 ~ 2022.05.31
(27개월)</t>
    <phoneticPr fontId="87" type="noConversion"/>
  </si>
  <si>
    <t xml:space="preserve">       * 감리비 산정 시 발코니 확장 포함금액임</t>
    <phoneticPr fontId="5" type="noConversion"/>
  </si>
  <si>
    <t xml:space="preserve">       * 일반분양시설경비 : 분양 사무실 시공비, 운영비, 광고홍보비</t>
    <phoneticPr fontId="5" type="noConversion"/>
  </si>
  <si>
    <t xml:space="preserve">    4 : 간접비란 사업비 중 총공사비를 제외한 설계비,감리비,일반분양시설경비 등 사업비성경비를 말하며, 세부 품목은 다음과 같음</t>
    <phoneticPr fontId="5" type="noConversion"/>
  </si>
  <si>
    <t xml:space="preserve">                                  감정평가 수수료, 분양 보증 및 하자보증수수료 등 기타 사업비성 경비</t>
    <phoneticPr fontId="5" type="noConversion"/>
  </si>
  <si>
    <t>2020.02.01 ~ 2021.06.30
(17개월)</t>
    <phoneticPr fontId="4" type="noConversion"/>
  </si>
  <si>
    <t>11월</t>
  </si>
  <si>
    <t>11월</t>
    <phoneticPr fontId="4" type="noConversion"/>
  </si>
  <si>
    <t>12월</t>
    <phoneticPr fontId="4" type="noConversion"/>
  </si>
  <si>
    <t>1월</t>
    <phoneticPr fontId="4" type="noConversion"/>
  </si>
  <si>
    <t>2월</t>
    <phoneticPr fontId="4" type="noConversion"/>
  </si>
  <si>
    <t>3월</t>
    <phoneticPr fontId="4" type="noConversion"/>
  </si>
  <si>
    <t>4월</t>
  </si>
  <si>
    <t>5월</t>
  </si>
  <si>
    <t>6월</t>
  </si>
  <si>
    <t>7월</t>
  </si>
  <si>
    <t>8월</t>
  </si>
  <si>
    <t>9월</t>
  </si>
  <si>
    <t>10월</t>
  </si>
  <si>
    <t>1개월</t>
    <phoneticPr fontId="4" type="noConversion"/>
  </si>
  <si>
    <t>2개월</t>
    <phoneticPr fontId="4" type="noConversion"/>
  </si>
  <si>
    <t>3개월</t>
    <phoneticPr fontId="4" type="noConversion"/>
  </si>
  <si>
    <t>4개월</t>
    <phoneticPr fontId="4" type="noConversion"/>
  </si>
  <si>
    <t>5개월</t>
  </si>
  <si>
    <t>6개월</t>
  </si>
  <si>
    <t>7개월</t>
  </si>
  <si>
    <t>8개월</t>
  </si>
  <si>
    <t>9개월</t>
  </si>
  <si>
    <t>10개월</t>
  </si>
  <si>
    <t>11개월</t>
  </si>
  <si>
    <t>12개월</t>
  </si>
  <si>
    <t>13개월</t>
  </si>
  <si>
    <t>14개월</t>
  </si>
  <si>
    <t>15개월</t>
  </si>
  <si>
    <t>16개월</t>
  </si>
  <si>
    <t>17개월</t>
  </si>
  <si>
    <t>18개월</t>
  </si>
  <si>
    <t>19개월</t>
  </si>
  <si>
    <t>20개월</t>
  </si>
  <si>
    <t>21개월</t>
  </si>
  <si>
    <t>22개월</t>
  </si>
  <si>
    <t>23개월</t>
  </si>
  <si>
    <t>24개월</t>
  </si>
  <si>
    <t>25개월</t>
  </si>
  <si>
    <t>26개월</t>
  </si>
  <si>
    <t>27개월</t>
  </si>
  <si>
    <t>28개월</t>
  </si>
  <si>
    <t>29개월</t>
  </si>
  <si>
    <t>30개월</t>
  </si>
  <si>
    <t>31개월</t>
  </si>
  <si>
    <t xml:space="preserve">  ▣ 공   사   명 : 인천 검단신도시 AA11BL 공동주택 신축공사</t>
    <phoneticPr fontId="4" type="noConversion"/>
  </si>
  <si>
    <t xml:space="preserve"> 공사명: 인천 검단신도시 AA11BL 공동주택 신축공사</t>
    <phoneticPr fontId="45" type="noConversion"/>
  </si>
  <si>
    <t>인천 검단신도시 AA11BL 공동주택 신축공사 (건축) 예정공정표</t>
    <phoneticPr fontId="8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</si>
</sst>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3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;\(#,##0\)"/>
    <numFmt numFmtId="178" formatCode="_(* #,##0_);_(* \(#,##0\);_(* &quot;-&quot;??_);_(@_)"/>
    <numFmt numFmtId="179" formatCode="m\o\n\th\ d\,\ yyyy"/>
    <numFmt numFmtId="180" formatCode="_(* #,##0.0_);_(* \(#,##0.0\);_(* &quot;-&quot;_);_(@_)"/>
    <numFmt numFmtId="181" formatCode="#.00"/>
    <numFmt numFmtId="182" formatCode="#."/>
    <numFmt numFmtId="183" formatCode="_ &quot;₩&quot;* #,##0_ ;_ &quot;₩&quot;* \-#,##0_ ;_ &quot;₩&quot;* &quot;-&quot;_ ;_ @_ "/>
    <numFmt numFmtId="184" formatCode="&quot;?#,##0;\-&quot;&quot;?&quot;#,##0"/>
    <numFmt numFmtId="185" formatCode="#"/>
    <numFmt numFmtId="186" formatCode="_ * #,##0_ ;_ * \-#,##0_ ;_ * &quot;-&quot;_ ;_ @_ "/>
    <numFmt numFmtId="187" formatCode="_ &quot;₩&quot;* #,##0_ ;_ &quot;₩&quot;* &quot;₩&quot;&quot;₩&quot;&quot;₩&quot;&quot;₩&quot;&quot;₩&quot;&quot;₩&quot;\-#,##0_ ;_ &quot;₩&quot;* &quot;-&quot;_ ;_ @_ "/>
    <numFmt numFmtId="188" formatCode="_-* #,##0_-;\!\-* #,##0_-;_-* &quot;-&quot;_-;_-@_-"/>
    <numFmt numFmtId="189" formatCode="_-* #,##0.00_-;\-* #,##0.00_-;_-* &quot;-&quot;_-;_-@_-"/>
    <numFmt numFmtId="190" formatCode="#,##0_);[Red]\(#,##0\)"/>
    <numFmt numFmtId="191" formatCode="#,##0.0000&quot; ㎡ &quot;\ "/>
    <numFmt numFmtId="192" formatCode="General&quot;개월&quot;"/>
    <numFmt numFmtId="193" formatCode="#,##0&quot; &quot;"/>
    <numFmt numFmtId="194" formatCode="#,##0&quot;인&quot;"/>
    <numFmt numFmtId="195" formatCode="#,##0&quot;개월&quot;"/>
    <numFmt numFmtId="196" formatCode="#,##0&quot;원&quot;"/>
    <numFmt numFmtId="197" formatCode="#,##0&quot;일&quot;"/>
    <numFmt numFmtId="198" formatCode="#,##0_ ;[Red]\-#,##0\ "/>
    <numFmt numFmtId="199" formatCode="&quot;₩&quot;#,##0;&quot;₩&quot;&quot;₩&quot;&quot;₩&quot;&quot;₩&quot;\-#,##0"/>
    <numFmt numFmtId="200" formatCode="#,##0;[Red]&quot;-&quot;#,##0"/>
    <numFmt numFmtId="201" formatCode="&quot;₩&quot;#,##0;[Red]&quot;₩&quot;&quot;₩&quot;&quot;₩&quot;&quot;₩&quot;\-#,##0"/>
    <numFmt numFmtId="202" formatCode="_-&quot;₩&quot;* #,##0.00_-;&quot;₩&quot;&quot;₩&quot;\-&quot;₩&quot;* #,##0.00_-;_-&quot;₩&quot;* &quot;-&quot;??_-;_-@_-"/>
    <numFmt numFmtId="203" formatCode="&quot;₩&quot;#,##0.00;&quot;₩&quot;&quot;₩&quot;&quot;₩&quot;&quot;₩&quot;\-#,##0.00"/>
    <numFmt numFmtId="204" formatCode="#,##0.00&quot; py &quot;\ "/>
  </numFmts>
  <fonts count="9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b/>
      <u/>
      <sz val="20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Arial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1"/>
      <color indexed="62"/>
      <name val="맑은 고딕"/>
      <family val="3"/>
    </font>
    <font>
      <b/>
      <sz val="11"/>
      <name val="Helv"/>
      <family val="2"/>
    </font>
    <font>
      <sz val="11"/>
      <color indexed="10"/>
      <name val="맑은 고딕"/>
      <family val="3"/>
    </font>
    <font>
      <b/>
      <sz val="11"/>
      <color indexed="52"/>
      <name val="맑은 고딕"/>
      <family val="3"/>
    </font>
    <font>
      <sz val="11"/>
      <color indexed="20"/>
      <name val="맑은 고딕"/>
      <family val="3"/>
    </font>
    <font>
      <sz val="11"/>
      <name val="가는둥근제목체"/>
      <family val="1"/>
      <charset val="129"/>
    </font>
    <font>
      <sz val="10"/>
      <name val="돋움"/>
      <family val="3"/>
      <charset val="129"/>
    </font>
    <font>
      <sz val="11"/>
      <color indexed="60"/>
      <name val="맑은 고딕"/>
      <family val="3"/>
    </font>
    <font>
      <i/>
      <sz val="11"/>
      <color indexed="23"/>
      <name val="맑은 고딕"/>
      <family val="3"/>
    </font>
    <font>
      <b/>
      <sz val="11"/>
      <color indexed="9"/>
      <name val="맑은 고딕"/>
      <family val="3"/>
    </font>
    <font>
      <sz val="11"/>
      <color indexed="11"/>
      <name val="Courier"/>
      <family val="3"/>
    </font>
    <font>
      <sz val="11"/>
      <color indexed="52"/>
      <name val="맑은 고딕"/>
      <family val="3"/>
    </font>
    <font>
      <b/>
      <sz val="11"/>
      <color indexed="8"/>
      <name val="맑은 고딕"/>
      <family val="3"/>
    </font>
    <font>
      <b/>
      <sz val="15"/>
      <color indexed="56"/>
      <name val="맑은 고딕"/>
      <family val="3"/>
    </font>
    <font>
      <b/>
      <sz val="18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17"/>
      <name val="맑은 고딕"/>
      <family val="3"/>
    </font>
    <font>
      <b/>
      <sz val="11"/>
      <color indexed="63"/>
      <name val="맑은 고딕"/>
      <family val="3"/>
    </font>
    <font>
      <sz val="9"/>
      <name val="굴림체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0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1"/>
      <name val="굴림"/>
      <family val="3"/>
      <charset val="129"/>
    </font>
    <font>
      <b/>
      <sz val="12"/>
      <name val="굴림"/>
      <family val="3"/>
      <charset val="129"/>
    </font>
    <font>
      <sz val="10"/>
      <color indexed="8"/>
      <name val="굴림"/>
      <family val="3"/>
      <charset val="129"/>
    </font>
    <font>
      <sz val="8"/>
      <name val="맑은 고딕"/>
      <family val="3"/>
      <charset val="129"/>
    </font>
    <font>
      <b/>
      <u/>
      <sz val="20"/>
      <name val="굴림"/>
      <family val="3"/>
      <charset val="129"/>
    </font>
    <font>
      <sz val="9"/>
      <name val="굴림"/>
      <family val="3"/>
      <charset val="129"/>
    </font>
    <font>
      <b/>
      <sz val="20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1"/>
      <color indexed="10"/>
      <name val="굴림"/>
      <family val="3"/>
      <charset val="129"/>
    </font>
    <font>
      <b/>
      <sz val="18"/>
      <name val="새궁서"/>
      <family val="1"/>
      <charset val="129"/>
    </font>
    <font>
      <sz val="18"/>
      <name val="새궁서"/>
      <family val="1"/>
      <charset val="129"/>
    </font>
    <font>
      <sz val="11"/>
      <name val="바탕체"/>
      <family val="1"/>
      <charset val="129"/>
    </font>
    <font>
      <sz val="11"/>
      <name val="새궁서"/>
      <family val="1"/>
      <charset val="129"/>
    </font>
    <font>
      <b/>
      <sz val="14"/>
      <name val="새궁서"/>
      <family val="1"/>
      <charset val="129"/>
    </font>
    <font>
      <sz val="14"/>
      <name val="새궁서"/>
      <family val="1"/>
      <charset val="129"/>
    </font>
    <font>
      <sz val="10"/>
      <name val="맑은 고딕"/>
      <family val="3"/>
      <charset val="129"/>
      <scheme val="minor"/>
    </font>
    <font>
      <b/>
      <u/>
      <sz val="2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indexed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Times New Roman"/>
      <family val="1"/>
    </font>
    <font>
      <u/>
      <sz val="10"/>
      <color indexed="36"/>
      <name val="굴림"/>
      <family val="3"/>
      <charset val="129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1"/>
      <charset val="129"/>
    </font>
    <font>
      <sz val="12"/>
      <name val="System"/>
      <family val="2"/>
      <charset val="129"/>
    </font>
    <font>
      <b/>
      <sz val="18"/>
      <name val="Arial"/>
      <family val="2"/>
    </font>
    <font>
      <b/>
      <u/>
      <sz val="22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2"/>
      <name val="굴림체"/>
      <family val="3"/>
      <charset val="129"/>
    </font>
    <font>
      <b/>
      <sz val="15"/>
      <name val="맑은 고딕"/>
      <family val="3"/>
      <charset val="129"/>
      <scheme val="major"/>
    </font>
    <font>
      <sz val="15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24"/>
      <name val="맑은 고딕"/>
      <family val="3"/>
      <charset val="129"/>
      <scheme val="major"/>
    </font>
    <font>
      <sz val="11"/>
      <color rgb="FF000000"/>
      <name val="휴먼명조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  <font>
      <sz val="11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b/>
      <sz val="9"/>
      <name val="맑은 고딕"/>
      <family val="3"/>
      <charset val="129"/>
      <scheme val="major"/>
    </font>
  </fonts>
  <fills count="4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0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auto="1"/>
      </top>
      <bottom/>
      <diagonal/>
    </border>
    <border>
      <left/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</borders>
  <cellStyleXfs count="569">
    <xf numFmtId="0" fontId="0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" fillId="0" borderId="0"/>
    <xf numFmtId="0" fontId="7" fillId="0" borderId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0" borderId="0"/>
    <xf numFmtId="4" fontId="11" fillId="0" borderId="0">
      <protection locked="0"/>
    </xf>
    <xf numFmtId="0" fontId="12" fillId="0" borderId="0" applyFont="0" applyFill="0" applyBorder="0" applyAlignment="0" applyProtection="0"/>
    <xf numFmtId="177" fontId="13" fillId="0" borderId="0"/>
    <xf numFmtId="0" fontId="12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1" fillId="0" borderId="0">
      <protection locked="0"/>
    </xf>
    <xf numFmtId="5" fontId="12" fillId="0" borderId="0" applyFont="0" applyFill="0" applyBorder="0" applyAlignment="0" applyProtection="0"/>
    <xf numFmtId="178" fontId="7" fillId="0" borderId="0"/>
    <xf numFmtId="179" fontId="11" fillId="0" borderId="0">
      <protection locked="0"/>
    </xf>
    <xf numFmtId="180" fontId="7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81" fontId="11" fillId="0" borderId="0">
      <protection locked="0"/>
    </xf>
    <xf numFmtId="38" fontId="14" fillId="18" borderId="0" applyNumberFormat="0" applyBorder="0" applyAlignment="0" applyProtection="0"/>
    <xf numFmtId="0" fontId="15" fillId="0" borderId="0">
      <alignment horizontal="left"/>
    </xf>
    <xf numFmtId="0" fontId="16" fillId="0" borderId="28" applyNumberFormat="0" applyAlignment="0" applyProtection="0">
      <alignment horizontal="left" vertical="center"/>
    </xf>
    <xf numFmtId="0" fontId="16" fillId="0" borderId="29">
      <alignment horizontal="left" vertical="center"/>
    </xf>
    <xf numFmtId="182" fontId="17" fillId="0" borderId="0">
      <protection locked="0"/>
    </xf>
    <xf numFmtId="182" fontId="17" fillId="0" borderId="0">
      <protection locked="0"/>
    </xf>
    <xf numFmtId="183" fontId="7" fillId="0" borderId="0" applyFont="0" applyFill="0" applyBorder="0" applyAlignment="0" applyProtection="0"/>
    <xf numFmtId="10" fontId="14" fillId="18" borderId="8" applyNumberFormat="0" applyBorder="0" applyAlignment="0" applyProtection="0"/>
    <xf numFmtId="0" fontId="18" fillId="9" borderId="30" applyNumberFormat="0" applyAlignment="0" applyProtection="0">
      <alignment vertical="center"/>
    </xf>
    <xf numFmtId="0" fontId="19" fillId="0" borderId="31"/>
    <xf numFmtId="184" fontId="2" fillId="0" borderId="0"/>
    <xf numFmtId="0" fontId="7" fillId="0" borderId="0"/>
    <xf numFmtId="0" fontId="12" fillId="0" borderId="0"/>
    <xf numFmtId="10" fontId="12" fillId="0" borderId="0" applyFont="0" applyFill="0" applyBorder="0" applyAlignment="0" applyProtection="0"/>
    <xf numFmtId="0" fontId="11" fillId="0" borderId="0">
      <protection locked="0"/>
    </xf>
    <xf numFmtId="0" fontId="19" fillId="0" borderId="0"/>
    <xf numFmtId="182" fontId="11" fillId="0" borderId="32">
      <protection locked="0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30" applyNumberFormat="0" applyAlignment="0" applyProtection="0">
      <alignment vertical="center"/>
    </xf>
    <xf numFmtId="0" fontId="21" fillId="23" borderId="30" applyNumberFormat="0" applyAlignment="0" applyProtection="0">
      <alignment vertical="center"/>
    </xf>
    <xf numFmtId="0" fontId="21" fillId="23" borderId="30" applyNumberFormat="0" applyAlignment="0" applyProtection="0">
      <alignment vertical="center"/>
    </xf>
    <xf numFmtId="0" fontId="21" fillId="23" borderId="30" applyNumberFormat="0" applyAlignment="0" applyProtection="0">
      <alignment vertical="center"/>
    </xf>
    <xf numFmtId="0" fontId="21" fillId="23" borderId="30" applyNumberFormat="0" applyAlignment="0" applyProtection="0">
      <alignment vertical="center"/>
    </xf>
    <xf numFmtId="0" fontId="21" fillId="23" borderId="30" applyNumberFormat="0" applyAlignment="0" applyProtection="0">
      <alignment vertical="center"/>
    </xf>
    <xf numFmtId="0" fontId="21" fillId="23" borderId="30" applyNumberFormat="0" applyAlignment="0" applyProtection="0">
      <alignment vertical="center"/>
    </xf>
    <xf numFmtId="0" fontId="21" fillId="23" borderId="30" applyNumberFormat="0" applyAlignment="0" applyProtection="0">
      <alignment vertical="center"/>
    </xf>
    <xf numFmtId="0" fontId="21" fillId="23" borderId="30" applyNumberFormat="0" applyAlignment="0" applyProtection="0">
      <alignment vertical="center"/>
    </xf>
    <xf numFmtId="0" fontId="21" fillId="23" borderId="30" applyNumberFormat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3" fillId="24" borderId="33" applyNumberFormat="0" applyFont="0" applyAlignment="0" applyProtection="0">
      <alignment vertical="center"/>
    </xf>
    <xf numFmtId="0" fontId="23" fillId="24" borderId="33" applyNumberFormat="0" applyFont="0" applyAlignment="0" applyProtection="0">
      <alignment vertical="center"/>
    </xf>
    <xf numFmtId="0" fontId="23" fillId="24" borderId="33" applyNumberFormat="0" applyFont="0" applyAlignment="0" applyProtection="0">
      <alignment vertical="center"/>
    </xf>
    <xf numFmtId="0" fontId="23" fillId="24" borderId="33" applyNumberFormat="0" applyFont="0" applyAlignment="0" applyProtection="0">
      <alignment vertical="center"/>
    </xf>
    <xf numFmtId="0" fontId="23" fillId="24" borderId="33" applyNumberFormat="0" applyFont="0" applyAlignment="0" applyProtection="0">
      <alignment vertical="center"/>
    </xf>
    <xf numFmtId="0" fontId="23" fillId="24" borderId="33" applyNumberFormat="0" applyFont="0" applyAlignment="0" applyProtection="0">
      <alignment vertical="center"/>
    </xf>
    <xf numFmtId="0" fontId="23" fillId="24" borderId="33" applyNumberFormat="0" applyFont="0" applyAlignment="0" applyProtection="0">
      <alignment vertical="center"/>
    </xf>
    <xf numFmtId="0" fontId="23" fillId="24" borderId="33" applyNumberFormat="0" applyFont="0" applyAlignment="0" applyProtection="0">
      <alignment vertical="center"/>
    </xf>
    <xf numFmtId="0" fontId="23" fillId="24" borderId="33" applyNumberFormat="0" applyFont="0" applyAlignment="0" applyProtection="0">
      <alignment vertical="center"/>
    </xf>
    <xf numFmtId="0" fontId="23" fillId="24" borderId="33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" fillId="0" borderId="0"/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6" borderId="34" applyNumberFormat="0" applyAlignment="0" applyProtection="0">
      <alignment vertical="center"/>
    </xf>
    <xf numFmtId="0" fontId="27" fillId="26" borderId="34" applyNumberFormat="0" applyAlignment="0" applyProtection="0">
      <alignment vertical="center"/>
    </xf>
    <xf numFmtId="0" fontId="27" fillId="26" borderId="34" applyNumberFormat="0" applyAlignment="0" applyProtection="0">
      <alignment vertical="center"/>
    </xf>
    <xf numFmtId="0" fontId="27" fillId="26" borderId="34" applyNumberFormat="0" applyAlignment="0" applyProtection="0">
      <alignment vertical="center"/>
    </xf>
    <xf numFmtId="0" fontId="27" fillId="26" borderId="34" applyNumberFormat="0" applyAlignment="0" applyProtection="0">
      <alignment vertical="center"/>
    </xf>
    <xf numFmtId="0" fontId="27" fillId="26" borderId="34" applyNumberFormat="0" applyAlignment="0" applyProtection="0">
      <alignment vertical="center"/>
    </xf>
    <xf numFmtId="0" fontId="27" fillId="26" borderId="34" applyNumberFormat="0" applyAlignment="0" applyProtection="0">
      <alignment vertical="center"/>
    </xf>
    <xf numFmtId="0" fontId="27" fillId="26" borderId="34" applyNumberFormat="0" applyAlignment="0" applyProtection="0">
      <alignment vertical="center"/>
    </xf>
    <xf numFmtId="0" fontId="27" fillId="26" borderId="34" applyNumberFormat="0" applyAlignment="0" applyProtection="0">
      <alignment vertical="center"/>
    </xf>
    <xf numFmtId="0" fontId="27" fillId="26" borderId="34" applyNumberFormat="0" applyAlignment="0" applyProtection="0">
      <alignment vertical="center"/>
    </xf>
    <xf numFmtId="185" fontId="28" fillId="0" borderId="0">
      <alignment vertical="center"/>
      <protection locked="0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9" fillId="0" borderId="35" applyNumberFormat="0" applyFill="0" applyAlignment="0" applyProtection="0">
      <alignment vertical="center"/>
    </xf>
    <xf numFmtId="0" fontId="29" fillId="0" borderId="35" applyNumberFormat="0" applyFill="0" applyAlignment="0" applyProtection="0">
      <alignment vertical="center"/>
    </xf>
    <xf numFmtId="0" fontId="29" fillId="0" borderId="35" applyNumberFormat="0" applyFill="0" applyAlignment="0" applyProtection="0">
      <alignment vertical="center"/>
    </xf>
    <xf numFmtId="0" fontId="29" fillId="0" borderId="35" applyNumberFormat="0" applyFill="0" applyAlignment="0" applyProtection="0">
      <alignment vertical="center"/>
    </xf>
    <xf numFmtId="0" fontId="29" fillId="0" borderId="35" applyNumberFormat="0" applyFill="0" applyAlignment="0" applyProtection="0">
      <alignment vertical="center"/>
    </xf>
    <xf numFmtId="0" fontId="29" fillId="0" borderId="35" applyNumberFormat="0" applyFill="0" applyAlignment="0" applyProtection="0">
      <alignment vertical="center"/>
    </xf>
    <xf numFmtId="0" fontId="29" fillId="0" borderId="35" applyNumberFormat="0" applyFill="0" applyAlignment="0" applyProtection="0">
      <alignment vertical="center"/>
    </xf>
    <xf numFmtId="0" fontId="29" fillId="0" borderId="35" applyNumberFormat="0" applyFill="0" applyAlignment="0" applyProtection="0">
      <alignment vertical="center"/>
    </xf>
    <xf numFmtId="0" fontId="29" fillId="0" borderId="35" applyNumberFormat="0" applyFill="0" applyAlignment="0" applyProtection="0">
      <alignment vertical="center"/>
    </xf>
    <xf numFmtId="0" fontId="29" fillId="0" borderId="35" applyNumberFormat="0" applyFill="0" applyAlignment="0" applyProtection="0">
      <alignment vertical="center"/>
    </xf>
    <xf numFmtId="0" fontId="30" fillId="0" borderId="36" applyNumberFormat="0" applyFill="0" applyAlignment="0" applyProtection="0">
      <alignment vertical="center"/>
    </xf>
    <xf numFmtId="0" fontId="30" fillId="0" borderId="36" applyNumberFormat="0" applyFill="0" applyAlignment="0" applyProtection="0">
      <alignment vertical="center"/>
    </xf>
    <xf numFmtId="0" fontId="30" fillId="0" borderId="36" applyNumberFormat="0" applyFill="0" applyAlignment="0" applyProtection="0">
      <alignment vertical="center"/>
    </xf>
    <xf numFmtId="0" fontId="30" fillId="0" borderId="36" applyNumberFormat="0" applyFill="0" applyAlignment="0" applyProtection="0">
      <alignment vertical="center"/>
    </xf>
    <xf numFmtId="0" fontId="30" fillId="0" borderId="36" applyNumberFormat="0" applyFill="0" applyAlignment="0" applyProtection="0">
      <alignment vertical="center"/>
    </xf>
    <xf numFmtId="0" fontId="30" fillId="0" borderId="36" applyNumberFormat="0" applyFill="0" applyAlignment="0" applyProtection="0">
      <alignment vertical="center"/>
    </xf>
    <xf numFmtId="0" fontId="30" fillId="0" borderId="36" applyNumberFormat="0" applyFill="0" applyAlignment="0" applyProtection="0">
      <alignment vertical="center"/>
    </xf>
    <xf numFmtId="0" fontId="30" fillId="0" borderId="36" applyNumberFormat="0" applyFill="0" applyAlignment="0" applyProtection="0">
      <alignment vertical="center"/>
    </xf>
    <xf numFmtId="0" fontId="30" fillId="0" borderId="36" applyNumberFormat="0" applyFill="0" applyAlignment="0" applyProtection="0">
      <alignment vertical="center"/>
    </xf>
    <xf numFmtId="0" fontId="30" fillId="0" borderId="36" applyNumberFormat="0" applyFill="0" applyAlignment="0" applyProtection="0">
      <alignment vertical="center"/>
    </xf>
    <xf numFmtId="0" fontId="18" fillId="9" borderId="30" applyNumberFormat="0" applyAlignment="0" applyProtection="0">
      <alignment vertical="center"/>
    </xf>
    <xf numFmtId="0" fontId="18" fillId="9" borderId="30" applyNumberFormat="0" applyAlignment="0" applyProtection="0">
      <alignment vertical="center"/>
    </xf>
    <xf numFmtId="0" fontId="18" fillId="9" borderId="30" applyNumberFormat="0" applyAlignment="0" applyProtection="0">
      <alignment vertical="center"/>
    </xf>
    <xf numFmtId="0" fontId="18" fillId="9" borderId="30" applyNumberFormat="0" applyAlignment="0" applyProtection="0">
      <alignment vertical="center"/>
    </xf>
    <xf numFmtId="0" fontId="18" fillId="9" borderId="30" applyNumberFormat="0" applyAlignment="0" applyProtection="0">
      <alignment vertical="center"/>
    </xf>
    <xf numFmtId="0" fontId="18" fillId="9" borderId="30" applyNumberFormat="0" applyAlignment="0" applyProtection="0">
      <alignment vertical="center"/>
    </xf>
    <xf numFmtId="0" fontId="18" fillId="9" borderId="30" applyNumberFormat="0" applyAlignment="0" applyProtection="0">
      <alignment vertical="center"/>
    </xf>
    <xf numFmtId="0" fontId="18" fillId="9" borderId="30" applyNumberFormat="0" applyAlignment="0" applyProtection="0">
      <alignment vertical="center"/>
    </xf>
    <xf numFmtId="0" fontId="18" fillId="9" borderId="30" applyNumberFormat="0" applyAlignment="0" applyProtection="0">
      <alignment vertical="center"/>
    </xf>
    <xf numFmtId="0" fontId="18" fillId="9" borderId="30" applyNumberFormat="0" applyAlignment="0" applyProtection="0">
      <alignment vertical="center"/>
    </xf>
    <xf numFmtId="0" fontId="31" fillId="0" borderId="37" applyNumberFormat="0" applyFill="0" applyAlignment="0" applyProtection="0">
      <alignment vertical="center"/>
    </xf>
    <xf numFmtId="0" fontId="31" fillId="0" borderId="37" applyNumberFormat="0" applyFill="0" applyAlignment="0" applyProtection="0">
      <alignment vertical="center"/>
    </xf>
    <xf numFmtId="0" fontId="31" fillId="0" borderId="37" applyNumberFormat="0" applyFill="0" applyAlignment="0" applyProtection="0">
      <alignment vertical="center"/>
    </xf>
    <xf numFmtId="0" fontId="31" fillId="0" borderId="37" applyNumberFormat="0" applyFill="0" applyAlignment="0" applyProtection="0">
      <alignment vertical="center"/>
    </xf>
    <xf numFmtId="0" fontId="31" fillId="0" borderId="37" applyNumberFormat="0" applyFill="0" applyAlignment="0" applyProtection="0">
      <alignment vertical="center"/>
    </xf>
    <xf numFmtId="0" fontId="31" fillId="0" borderId="37" applyNumberFormat="0" applyFill="0" applyAlignment="0" applyProtection="0">
      <alignment vertical="center"/>
    </xf>
    <xf numFmtId="0" fontId="31" fillId="0" borderId="37" applyNumberFormat="0" applyFill="0" applyAlignment="0" applyProtection="0">
      <alignment vertical="center"/>
    </xf>
    <xf numFmtId="0" fontId="31" fillId="0" borderId="37" applyNumberFormat="0" applyFill="0" applyAlignment="0" applyProtection="0">
      <alignment vertical="center"/>
    </xf>
    <xf numFmtId="0" fontId="31" fillId="0" borderId="37" applyNumberFormat="0" applyFill="0" applyAlignment="0" applyProtection="0">
      <alignment vertical="center"/>
    </xf>
    <xf numFmtId="0" fontId="31" fillId="0" borderId="37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3" fillId="0" borderId="38" applyNumberFormat="0" applyFill="0" applyAlignment="0" applyProtection="0">
      <alignment vertical="center"/>
    </xf>
    <xf numFmtId="0" fontId="34" fillId="0" borderId="39" applyNumberFormat="0" applyFill="0" applyAlignment="0" applyProtection="0">
      <alignment vertical="center"/>
    </xf>
    <xf numFmtId="0" fontId="34" fillId="0" borderId="39" applyNumberFormat="0" applyFill="0" applyAlignment="0" applyProtection="0">
      <alignment vertical="center"/>
    </xf>
    <xf numFmtId="0" fontId="34" fillId="0" borderId="39" applyNumberFormat="0" applyFill="0" applyAlignment="0" applyProtection="0">
      <alignment vertical="center"/>
    </xf>
    <xf numFmtId="0" fontId="34" fillId="0" borderId="39" applyNumberFormat="0" applyFill="0" applyAlignment="0" applyProtection="0">
      <alignment vertical="center"/>
    </xf>
    <xf numFmtId="0" fontId="34" fillId="0" borderId="39" applyNumberFormat="0" applyFill="0" applyAlignment="0" applyProtection="0">
      <alignment vertical="center"/>
    </xf>
    <xf numFmtId="0" fontId="34" fillId="0" borderId="39" applyNumberFormat="0" applyFill="0" applyAlignment="0" applyProtection="0">
      <alignment vertical="center"/>
    </xf>
    <xf numFmtId="0" fontId="34" fillId="0" borderId="39" applyNumberFormat="0" applyFill="0" applyAlignment="0" applyProtection="0">
      <alignment vertical="center"/>
    </xf>
    <xf numFmtId="0" fontId="34" fillId="0" borderId="39" applyNumberFormat="0" applyFill="0" applyAlignment="0" applyProtection="0">
      <alignment vertical="center"/>
    </xf>
    <xf numFmtId="0" fontId="34" fillId="0" borderId="39" applyNumberFormat="0" applyFill="0" applyAlignment="0" applyProtection="0">
      <alignment vertical="center"/>
    </xf>
    <xf numFmtId="0" fontId="34" fillId="0" borderId="39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7" fillId="0" borderId="0"/>
    <xf numFmtId="0" fontId="36" fillId="23" borderId="40" applyNumberFormat="0" applyAlignment="0" applyProtection="0">
      <alignment vertical="center"/>
    </xf>
    <xf numFmtId="0" fontId="36" fillId="23" borderId="40" applyNumberFormat="0" applyAlignment="0" applyProtection="0">
      <alignment vertical="center"/>
    </xf>
    <xf numFmtId="0" fontId="36" fillId="23" borderId="40" applyNumberFormat="0" applyAlignment="0" applyProtection="0">
      <alignment vertical="center"/>
    </xf>
    <xf numFmtId="0" fontId="36" fillId="23" borderId="40" applyNumberFormat="0" applyAlignment="0" applyProtection="0">
      <alignment vertical="center"/>
    </xf>
    <xf numFmtId="0" fontId="36" fillId="23" borderId="40" applyNumberFormat="0" applyAlignment="0" applyProtection="0">
      <alignment vertical="center"/>
    </xf>
    <xf numFmtId="0" fontId="36" fillId="23" borderId="40" applyNumberFormat="0" applyAlignment="0" applyProtection="0">
      <alignment vertical="center"/>
    </xf>
    <xf numFmtId="0" fontId="36" fillId="23" borderId="40" applyNumberFormat="0" applyAlignment="0" applyProtection="0">
      <alignment vertical="center"/>
    </xf>
    <xf numFmtId="0" fontId="36" fillId="23" borderId="40" applyNumberFormat="0" applyAlignment="0" applyProtection="0">
      <alignment vertical="center"/>
    </xf>
    <xf numFmtId="0" fontId="36" fillId="23" borderId="40" applyNumberFormat="0" applyAlignment="0" applyProtection="0">
      <alignment vertical="center"/>
    </xf>
    <xf numFmtId="0" fontId="36" fillId="23" borderId="40" applyNumberFormat="0" applyAlignment="0" applyProtection="0">
      <alignment vertical="center"/>
    </xf>
    <xf numFmtId="187" fontId="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188" fontId="2" fillId="0" borderId="0"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2" fillId="0" borderId="0">
      <alignment vertical="center"/>
    </xf>
    <xf numFmtId="0" fontId="2" fillId="0" borderId="0">
      <alignment vertical="center"/>
    </xf>
    <xf numFmtId="0" fontId="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41" fontId="37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/>
    <xf numFmtId="9" fontId="2" fillId="0" borderId="0" applyFont="0" applyFill="0" applyBorder="0" applyAlignment="0" applyProtection="0">
      <alignment vertical="center"/>
    </xf>
    <xf numFmtId="0" fontId="66" fillId="0" borderId="0"/>
    <xf numFmtId="199" fontId="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67" fillId="0" borderId="0" applyNumberFormat="0" applyFill="0" applyBorder="0" applyAlignment="0" applyProtection="0">
      <alignment vertical="top"/>
      <protection locked="0"/>
    </xf>
    <xf numFmtId="40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200" fontId="69" fillId="0" borderId="0">
      <alignment vertical="center"/>
    </xf>
    <xf numFmtId="0" fontId="3" fillId="0" borderId="0" applyFont="0" applyFill="0" applyBorder="0" applyAlignment="0" applyProtection="0"/>
    <xf numFmtId="4" fontId="11" fillId="0" borderId="0">
      <protection locked="0"/>
    </xf>
    <xf numFmtId="201" fontId="7" fillId="0" borderId="0">
      <protection locked="0"/>
    </xf>
    <xf numFmtId="0" fontId="2" fillId="0" borderId="0"/>
    <xf numFmtId="0" fontId="11" fillId="0" borderId="94">
      <protection locked="0"/>
    </xf>
    <xf numFmtId="202" fontId="7" fillId="0" borderId="0">
      <protection locked="0"/>
    </xf>
    <xf numFmtId="203" fontId="7" fillId="0" borderId="0">
      <protection locked="0"/>
    </xf>
    <xf numFmtId="0" fontId="7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/>
    <xf numFmtId="0" fontId="72" fillId="0" borderId="0"/>
    <xf numFmtId="3" fontId="1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2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2" fillId="0" borderId="0"/>
    <xf numFmtId="0" fontId="78" fillId="0" borderId="0"/>
  </cellStyleXfs>
  <cellXfs count="552">
    <xf numFmtId="0" fontId="0" fillId="0" borderId="0" xfId="0"/>
    <xf numFmtId="0" fontId="3" fillId="0" borderId="0" xfId="0" applyFont="1" applyAlignment="1">
      <alignment vertical="center"/>
    </xf>
    <xf numFmtId="41" fontId="3" fillId="0" borderId="0" xfId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1" fontId="3" fillId="0" borderId="0" xfId="1" applyFont="1" applyAlignment="1">
      <alignment horizontal="centerContinuous" vertical="center"/>
    </xf>
    <xf numFmtId="10" fontId="3" fillId="0" borderId="0" xfId="2" applyNumberFormat="1" applyFont="1" applyAlignment="1">
      <alignment horizontal="centerContinuous" vertical="center"/>
    </xf>
    <xf numFmtId="10" fontId="3" fillId="0" borderId="0" xfId="2" applyNumberFormat="1" applyFont="1" applyAlignment="1">
      <alignment vertical="center"/>
    </xf>
    <xf numFmtId="10" fontId="3" fillId="0" borderId="0" xfId="2" applyNumberFormat="1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1" fontId="3" fillId="0" borderId="6" xfId="1" applyFont="1" applyBorder="1" applyAlignment="1">
      <alignment vertical="center"/>
    </xf>
    <xf numFmtId="10" fontId="3" fillId="0" borderId="6" xfId="2" applyNumberFormat="1" applyFont="1" applyBorder="1" applyAlignment="1">
      <alignment vertical="center"/>
    </xf>
    <xf numFmtId="10" fontId="3" fillId="0" borderId="7" xfId="2" applyNumberFormat="1" applyFont="1" applyBorder="1" applyAlignment="1">
      <alignment vertical="center"/>
    </xf>
    <xf numFmtId="41" fontId="3" fillId="0" borderId="8" xfId="1" applyFont="1" applyBorder="1" applyAlignment="1">
      <alignment vertical="center"/>
    </xf>
    <xf numFmtId="10" fontId="3" fillId="0" borderId="8" xfId="2" applyNumberFormat="1" applyFont="1" applyBorder="1" applyAlignment="1">
      <alignment vertical="center"/>
    </xf>
    <xf numFmtId="10" fontId="3" fillId="0" borderId="9" xfId="2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41" fontId="5" fillId="0" borderId="11" xfId="1" applyFont="1" applyFill="1" applyBorder="1" applyAlignment="1">
      <alignment horizontal="center" vertical="center"/>
    </xf>
    <xf numFmtId="10" fontId="3" fillId="3" borderId="8" xfId="2" applyNumberFormat="1" applyFont="1" applyFill="1" applyBorder="1" applyAlignment="1">
      <alignment vertical="center"/>
    </xf>
    <xf numFmtId="10" fontId="3" fillId="3" borderId="9" xfId="2" applyNumberFormat="1" applyFont="1" applyFill="1" applyBorder="1" applyAlignment="1">
      <alignment vertical="center"/>
    </xf>
    <xf numFmtId="0" fontId="3" fillId="0" borderId="12" xfId="0" applyFont="1" applyBorder="1" applyAlignment="1">
      <alignment horizontal="centerContinuous" vertical="center"/>
    </xf>
    <xf numFmtId="41" fontId="3" fillId="0" borderId="11" xfId="1" applyFont="1" applyBorder="1" applyAlignment="1">
      <alignment horizontal="centerContinuous" vertical="center"/>
    </xf>
    <xf numFmtId="0" fontId="3" fillId="0" borderId="13" xfId="0" applyFont="1" applyBorder="1" applyAlignment="1">
      <alignment horizontal="centerContinuous" vertical="center"/>
    </xf>
    <xf numFmtId="0" fontId="3" fillId="0" borderId="14" xfId="0" applyFont="1" applyBorder="1" applyAlignment="1">
      <alignment horizontal="centerContinuous" vertical="center"/>
    </xf>
    <xf numFmtId="0" fontId="3" fillId="0" borderId="15" xfId="0" applyFont="1" applyBorder="1" applyAlignment="1">
      <alignment horizontal="centerContinuous" vertical="center"/>
    </xf>
    <xf numFmtId="41" fontId="3" fillId="0" borderId="16" xfId="1" applyFont="1" applyBorder="1" applyAlignment="1">
      <alignment horizontal="centerContinuous" vertical="center"/>
    </xf>
    <xf numFmtId="10" fontId="3" fillId="0" borderId="17" xfId="2" applyNumberFormat="1" applyFont="1" applyBorder="1" applyAlignment="1">
      <alignment vertical="center"/>
    </xf>
    <xf numFmtId="10" fontId="3" fillId="0" borderId="18" xfId="2" applyNumberFormat="1" applyFont="1" applyBorder="1" applyAlignment="1">
      <alignment vertical="center"/>
    </xf>
    <xf numFmtId="10" fontId="3" fillId="0" borderId="0" xfId="0" applyNumberFormat="1" applyFont="1" applyAlignment="1">
      <alignment vertical="center"/>
    </xf>
    <xf numFmtId="0" fontId="3" fillId="0" borderId="19" xfId="0" applyFont="1" applyBorder="1" applyAlignment="1">
      <alignment horizontal="centerContinuous" vertical="center"/>
    </xf>
    <xf numFmtId="41" fontId="3" fillId="0" borderId="20" xfId="1" applyFont="1" applyBorder="1" applyAlignment="1">
      <alignment horizontal="centerContinuous" vertical="center"/>
    </xf>
    <xf numFmtId="176" fontId="3" fillId="0" borderId="6" xfId="0" applyNumberFormat="1" applyFont="1" applyBorder="1" applyAlignment="1">
      <alignment vertical="center"/>
    </xf>
    <xf numFmtId="176" fontId="3" fillId="0" borderId="7" xfId="0" applyNumberFormat="1" applyFont="1" applyBorder="1" applyAlignment="1">
      <alignment vertical="center"/>
    </xf>
    <xf numFmtId="176" fontId="3" fillId="0" borderId="8" xfId="0" applyNumberFormat="1" applyFont="1" applyBorder="1" applyAlignment="1">
      <alignment vertical="center"/>
    </xf>
    <xf numFmtId="176" fontId="3" fillId="0" borderId="9" xfId="0" applyNumberFormat="1" applyFont="1" applyBorder="1" applyAlignment="1">
      <alignment vertical="center"/>
    </xf>
    <xf numFmtId="176" fontId="3" fillId="0" borderId="17" xfId="0" applyNumberFormat="1" applyFont="1" applyBorder="1" applyAlignment="1">
      <alignment vertical="center"/>
    </xf>
    <xf numFmtId="176" fontId="3" fillId="0" borderId="18" xfId="0" applyNumberFormat="1" applyFont="1" applyBorder="1" applyAlignment="1">
      <alignment vertical="center"/>
    </xf>
    <xf numFmtId="0" fontId="3" fillId="0" borderId="21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41" fontId="3" fillId="0" borderId="6" xfId="1" applyFont="1" applyBorder="1" applyAlignment="1">
      <alignment horizontal="centerContinuous" vertical="center"/>
    </xf>
    <xf numFmtId="0" fontId="3" fillId="0" borderId="22" xfId="0" applyFont="1" applyBorder="1" applyAlignment="1">
      <alignment horizontal="centerContinuous" vertical="center"/>
    </xf>
    <xf numFmtId="0" fontId="3" fillId="0" borderId="23" xfId="0" applyFont="1" applyBorder="1" applyAlignment="1">
      <alignment horizontal="centerContinuous" vertical="center"/>
    </xf>
    <xf numFmtId="41" fontId="3" fillId="0" borderId="23" xfId="1" applyFont="1" applyBorder="1" applyAlignment="1">
      <alignment horizontal="centerContinuous" vertical="center"/>
    </xf>
    <xf numFmtId="176" fontId="3" fillId="0" borderId="23" xfId="0" applyNumberFormat="1" applyFont="1" applyBorder="1" applyAlignment="1">
      <alignment vertical="center"/>
    </xf>
    <xf numFmtId="176" fontId="3" fillId="0" borderId="24" xfId="0" applyNumberFormat="1" applyFont="1" applyBorder="1" applyAlignment="1">
      <alignment vertical="center"/>
    </xf>
    <xf numFmtId="0" fontId="3" fillId="0" borderId="25" xfId="0" applyFont="1" applyBorder="1" applyAlignment="1">
      <alignment horizontal="centerContinuous" vertical="center"/>
    </xf>
    <xf numFmtId="0" fontId="3" fillId="0" borderId="26" xfId="0" applyFont="1" applyBorder="1" applyAlignment="1">
      <alignment horizontal="centerContinuous" vertical="center"/>
    </xf>
    <xf numFmtId="41" fontId="3" fillId="0" borderId="26" xfId="1" applyFont="1" applyBorder="1" applyAlignment="1">
      <alignment horizontal="centerContinuous" vertical="center"/>
    </xf>
    <xf numFmtId="176" fontId="3" fillId="0" borderId="26" xfId="0" applyNumberFormat="1" applyFont="1" applyBorder="1" applyAlignment="1">
      <alignment vertical="center"/>
    </xf>
    <xf numFmtId="176" fontId="3" fillId="0" borderId="27" xfId="0" applyNumberFormat="1" applyFont="1" applyBorder="1" applyAlignment="1">
      <alignment vertical="center"/>
    </xf>
    <xf numFmtId="9" fontId="3" fillId="0" borderId="0" xfId="0" applyNumberFormat="1" applyFont="1" applyAlignment="1">
      <alignment vertical="center"/>
    </xf>
    <xf numFmtId="0" fontId="46" fillId="0" borderId="0" xfId="523" applyFont="1" applyAlignment="1" applyProtection="1">
      <alignment horizontal="center" vertical="center"/>
    </xf>
    <xf numFmtId="0" fontId="39" fillId="0" borderId="0" xfId="523" applyFont="1"/>
    <xf numFmtId="190" fontId="39" fillId="0" borderId="0" xfId="523" applyNumberFormat="1" applyFont="1" applyAlignment="1">
      <alignment horizontal="center" vertical="center"/>
    </xf>
    <xf numFmtId="0" fontId="43" fillId="0" borderId="0" xfId="523" applyFont="1" applyAlignment="1" applyProtection="1">
      <alignment vertical="center"/>
    </xf>
    <xf numFmtId="0" fontId="38" fillId="0" borderId="0" xfId="523" applyFont="1" applyAlignment="1" applyProtection="1">
      <alignment horizontal="center" vertical="center"/>
    </xf>
    <xf numFmtId="0" fontId="49" fillId="0" borderId="0" xfId="523" applyFont="1" applyFill="1" applyBorder="1" applyAlignment="1" applyProtection="1">
      <alignment horizontal="left" vertical="center"/>
      <protection locked="0"/>
    </xf>
    <xf numFmtId="0" fontId="49" fillId="0" borderId="0" xfId="523" applyFont="1" applyAlignment="1" applyProtection="1">
      <alignment vertical="center"/>
    </xf>
    <xf numFmtId="191" fontId="43" fillId="0" borderId="0" xfId="523" applyNumberFormat="1" applyFont="1" applyAlignment="1" applyProtection="1">
      <alignment horizontal="left" vertical="center"/>
    </xf>
    <xf numFmtId="192" fontId="43" fillId="0" borderId="0" xfId="523" applyNumberFormat="1" applyFont="1" applyAlignment="1" applyProtection="1">
      <alignment horizontal="left" vertical="center"/>
    </xf>
    <xf numFmtId="0" fontId="38" fillId="0" borderId="6" xfId="523" applyFont="1" applyBorder="1" applyAlignment="1" applyProtection="1">
      <alignment horizontal="center" vertical="center"/>
    </xf>
    <xf numFmtId="0" fontId="38" fillId="0" borderId="7" xfId="523" applyFont="1" applyBorder="1" applyAlignment="1" applyProtection="1">
      <alignment horizontal="center" vertical="center"/>
    </xf>
    <xf numFmtId="0" fontId="39" fillId="0" borderId="0" xfId="523" applyFont="1" applyBorder="1" applyAlignment="1" applyProtection="1">
      <alignment horizontal="center" vertical="center"/>
    </xf>
    <xf numFmtId="0" fontId="50" fillId="0" borderId="0" xfId="523" applyFont="1" applyAlignment="1">
      <alignment horizontal="right"/>
    </xf>
    <xf numFmtId="193" fontId="38" fillId="30" borderId="5" xfId="523" applyNumberFormat="1" applyFont="1" applyFill="1" applyBorder="1" applyAlignment="1" applyProtection="1">
      <alignment horizontal="right" vertical="center"/>
    </xf>
    <xf numFmtId="0" fontId="39" fillId="0" borderId="8" xfId="523" applyFont="1" applyBorder="1"/>
    <xf numFmtId="194" fontId="41" fillId="0" borderId="8" xfId="523" applyNumberFormat="1" applyFont="1" applyBorder="1" applyAlignment="1">
      <alignment horizontal="center" vertical="center"/>
    </xf>
    <xf numFmtId="195" fontId="38" fillId="0" borderId="8" xfId="523" applyNumberFormat="1" applyFont="1" applyBorder="1" applyAlignment="1">
      <alignment horizontal="center" vertical="center"/>
    </xf>
    <xf numFmtId="9" fontId="38" fillId="0" borderId="8" xfId="523" applyNumberFormat="1" applyFont="1" applyBorder="1" applyAlignment="1">
      <alignment horizontal="left" vertical="center" indent="1"/>
    </xf>
    <xf numFmtId="3" fontId="38" fillId="0" borderId="8" xfId="523" applyNumberFormat="1" applyFont="1" applyBorder="1" applyAlignment="1">
      <alignment horizontal="center" vertical="center"/>
    </xf>
    <xf numFmtId="193" fontId="38" fillId="0" borderId="8" xfId="523" applyNumberFormat="1" applyFont="1" applyBorder="1" applyAlignment="1">
      <alignment horizontal="right" vertical="center"/>
    </xf>
    <xf numFmtId="196" fontId="39" fillId="0" borderId="0" xfId="523" applyNumberFormat="1" applyFont="1" applyBorder="1" applyAlignment="1">
      <alignment horizontal="left" vertical="center" indent="1"/>
    </xf>
    <xf numFmtId="0" fontId="39" fillId="0" borderId="8" xfId="523" applyFont="1" applyBorder="1" applyAlignment="1">
      <alignment horizontal="center" vertical="center"/>
    </xf>
    <xf numFmtId="190" fontId="50" fillId="0" borderId="8" xfId="523" applyNumberFormat="1" applyFont="1" applyBorder="1" applyAlignment="1">
      <alignment horizontal="center" vertical="center"/>
    </xf>
    <xf numFmtId="197" fontId="42" fillId="0" borderId="8" xfId="523" applyNumberFormat="1" applyFont="1" applyBorder="1" applyAlignment="1">
      <alignment vertical="center"/>
    </xf>
    <xf numFmtId="190" fontId="39" fillId="0" borderId="8" xfId="523" applyNumberFormat="1" applyFont="1" applyBorder="1" applyAlignment="1">
      <alignment horizontal="center" vertical="center"/>
    </xf>
    <xf numFmtId="0" fontId="38" fillId="0" borderId="43" xfId="523" applyFont="1" applyBorder="1" applyAlignment="1">
      <alignment horizontal="center" vertical="center" wrapText="1"/>
    </xf>
    <xf numFmtId="0" fontId="39" fillId="0" borderId="0" xfId="523" applyFont="1" applyAlignment="1">
      <alignment vertical="top"/>
    </xf>
    <xf numFmtId="193" fontId="38" fillId="30" borderId="42" xfId="523" applyNumberFormat="1" applyFont="1" applyFill="1" applyBorder="1" applyAlignment="1">
      <alignment vertical="center"/>
    </xf>
    <xf numFmtId="0" fontId="39" fillId="0" borderId="0" xfId="523" applyFont="1" applyBorder="1" applyAlignment="1">
      <alignment vertical="center"/>
    </xf>
    <xf numFmtId="0" fontId="38" fillId="0" borderId="53" xfId="523" applyFont="1" applyBorder="1" applyAlignment="1">
      <alignment horizontal="center" vertical="center"/>
    </xf>
    <xf numFmtId="9" fontId="38" fillId="0" borderId="70" xfId="523" applyNumberFormat="1" applyFont="1" applyBorder="1" applyAlignment="1">
      <alignment horizontal="center" vertical="center"/>
    </xf>
    <xf numFmtId="193" fontId="38" fillId="0" borderId="5" xfId="523" applyNumberFormat="1" applyFont="1" applyBorder="1" applyAlignment="1">
      <alignment vertical="center"/>
    </xf>
    <xf numFmtId="0" fontId="38" fillId="0" borderId="42" xfId="523" applyFont="1" applyBorder="1" applyAlignment="1">
      <alignment vertical="center"/>
    </xf>
    <xf numFmtId="0" fontId="38" fillId="0" borderId="42" xfId="523" applyFont="1" applyBorder="1" applyAlignment="1">
      <alignment horizontal="left" vertical="center" indent="1"/>
    </xf>
    <xf numFmtId="9" fontId="38" fillId="0" borderId="20" xfId="523" applyNumberFormat="1" applyFont="1" applyBorder="1" applyAlignment="1">
      <alignment horizontal="center" vertical="center"/>
    </xf>
    <xf numFmtId="193" fontId="38" fillId="0" borderId="6" xfId="523" applyNumberFormat="1" applyFont="1" applyBorder="1" applyAlignment="1">
      <alignment vertical="center"/>
    </xf>
    <xf numFmtId="0" fontId="38" fillId="0" borderId="79" xfId="523" applyFont="1" applyBorder="1" applyAlignment="1">
      <alignment vertical="center" shrinkToFit="1"/>
    </xf>
    <xf numFmtId="9" fontId="38" fillId="0" borderId="80" xfId="523" applyNumberFormat="1" applyFont="1" applyBorder="1" applyAlignment="1">
      <alignment horizontal="center" vertical="center" shrinkToFit="1"/>
    </xf>
    <xf numFmtId="193" fontId="38" fillId="0" borderId="81" xfId="523" applyNumberFormat="1" applyFont="1" applyBorder="1" applyAlignment="1">
      <alignment vertical="center"/>
    </xf>
    <xf numFmtId="0" fontId="38" fillId="0" borderId="83" xfId="523" applyFont="1" applyBorder="1" applyAlignment="1">
      <alignment horizontal="left" vertical="center" indent="1" shrinkToFit="1"/>
    </xf>
    <xf numFmtId="9" fontId="38" fillId="0" borderId="84" xfId="523" applyNumberFormat="1" applyFont="1" applyBorder="1" applyAlignment="1">
      <alignment horizontal="center" vertical="center"/>
    </xf>
    <xf numFmtId="193" fontId="38" fillId="0" borderId="85" xfId="523" applyNumberFormat="1" applyFont="1" applyBorder="1" applyAlignment="1">
      <alignment vertical="center"/>
    </xf>
    <xf numFmtId="193" fontId="38" fillId="0" borderId="85" xfId="523" applyNumberFormat="1" applyFont="1" applyBorder="1" applyAlignment="1">
      <alignment horizontal="right" vertical="center"/>
    </xf>
    <xf numFmtId="193" fontId="38" fillId="0" borderId="88" xfId="523" applyNumberFormat="1" applyFont="1" applyBorder="1" applyAlignment="1">
      <alignment horizontal="right" vertical="center"/>
    </xf>
    <xf numFmtId="193" fontId="38" fillId="0" borderId="6" xfId="523" applyNumberFormat="1" applyFont="1" applyBorder="1" applyAlignment="1">
      <alignment horizontal="right" vertical="center"/>
    </xf>
    <xf numFmtId="0" fontId="39" fillId="0" borderId="0" xfId="523" applyFont="1" applyAlignment="1">
      <alignment horizontal="center" vertical="center"/>
    </xf>
    <xf numFmtId="190" fontId="50" fillId="0" borderId="0" xfId="523" applyNumberFormat="1" applyFont="1" applyAlignment="1">
      <alignment horizontal="center" vertical="center"/>
    </xf>
    <xf numFmtId="0" fontId="39" fillId="0" borderId="0" xfId="523" applyFont="1" applyAlignment="1">
      <alignment vertical="center"/>
    </xf>
    <xf numFmtId="3" fontId="40" fillId="30" borderId="8" xfId="523" applyNumberFormat="1" applyFont="1" applyFill="1" applyBorder="1" applyAlignment="1" applyProtection="1">
      <alignment vertical="center"/>
    </xf>
    <xf numFmtId="0" fontId="40" fillId="0" borderId="9" xfId="523" applyFont="1" applyBorder="1" applyAlignment="1" applyProtection="1">
      <alignment horizontal="center" vertical="center"/>
    </xf>
    <xf numFmtId="0" fontId="42" fillId="0" borderId="0" xfId="523" applyFont="1" applyBorder="1" applyAlignment="1" applyProtection="1">
      <alignment horizontal="center" vertical="center"/>
    </xf>
    <xf numFmtId="0" fontId="38" fillId="0" borderId="13" xfId="523" applyFont="1" applyBorder="1" applyAlignment="1" applyProtection="1">
      <alignment horizontal="left" vertical="center"/>
    </xf>
    <xf numFmtId="0" fontId="38" fillId="0" borderId="29" xfId="523" applyFont="1" applyBorder="1" applyAlignment="1" applyProtection="1">
      <alignment horizontal="left" vertical="center"/>
    </xf>
    <xf numFmtId="9" fontId="38" fillId="0" borderId="11" xfId="523" applyNumberFormat="1" applyFont="1" applyBorder="1" applyAlignment="1" applyProtection="1">
      <alignment horizontal="center" vertical="center"/>
    </xf>
    <xf numFmtId="0" fontId="40" fillId="0" borderId="55" xfId="523" applyFont="1" applyBorder="1" applyAlignment="1" applyProtection="1">
      <alignment horizontal="center" vertical="center" shrinkToFit="1"/>
    </xf>
    <xf numFmtId="190" fontId="39" fillId="0" borderId="0" xfId="523" applyNumberFormat="1" applyFont="1" applyAlignment="1">
      <alignment horizontal="center" vertical="top"/>
    </xf>
    <xf numFmtId="9" fontId="38" fillId="0" borderId="11" xfId="523" applyNumberFormat="1" applyFont="1" applyBorder="1" applyAlignment="1" applyProtection="1">
      <alignment horizontal="left" vertical="center"/>
    </xf>
    <xf numFmtId="0" fontId="40" fillId="0" borderId="55" xfId="523" applyFont="1" applyBorder="1" applyAlignment="1" applyProtection="1">
      <alignment horizontal="center" vertical="center"/>
    </xf>
    <xf numFmtId="41" fontId="40" fillId="30" borderId="26" xfId="385" applyNumberFormat="1" applyFont="1" applyFill="1" applyBorder="1" applyAlignment="1" applyProtection="1">
      <alignment vertical="center"/>
    </xf>
    <xf numFmtId="0" fontId="40" fillId="0" borderId="18" xfId="523" applyFont="1" applyBorder="1" applyAlignment="1" applyProtection="1">
      <alignment horizontal="center" vertical="center"/>
    </xf>
    <xf numFmtId="9" fontId="42" fillId="0" borderId="0" xfId="523" applyNumberFormat="1" applyFont="1" applyBorder="1" applyAlignment="1" applyProtection="1">
      <alignment horizontal="center" vertical="center"/>
    </xf>
    <xf numFmtId="0" fontId="38" fillId="0" borderId="0" xfId="523" applyFont="1" applyFill="1" applyBorder="1" applyAlignment="1" applyProtection="1">
      <alignment horizontal="center" vertical="center"/>
    </xf>
    <xf numFmtId="0" fontId="40" fillId="0" borderId="0" xfId="523" applyFont="1" applyFill="1" applyBorder="1" applyAlignment="1" applyProtection="1">
      <alignment horizontal="center" vertical="center"/>
    </xf>
    <xf numFmtId="0" fontId="38" fillId="0" borderId="0" xfId="523" applyFont="1"/>
    <xf numFmtId="0" fontId="40" fillId="0" borderId="0" xfId="523" applyNumberFormat="1" applyFont="1" applyFill="1" applyBorder="1" applyAlignment="1" applyProtection="1">
      <alignment horizontal="left" vertical="center"/>
    </xf>
    <xf numFmtId="9" fontId="49" fillId="0" borderId="0" xfId="349" applyFont="1" applyFill="1" applyBorder="1" applyAlignment="1" applyProtection="1">
      <alignment horizontal="center" vertical="center"/>
      <protection locked="0"/>
    </xf>
    <xf numFmtId="42" fontId="38" fillId="0" borderId="0" xfId="507" applyFont="1" applyFill="1" applyBorder="1" applyAlignment="1" applyProtection="1">
      <alignment vertical="center"/>
    </xf>
    <xf numFmtId="41" fontId="39" fillId="0" borderId="0" xfId="385" applyFont="1" applyAlignment="1"/>
    <xf numFmtId="0" fontId="38" fillId="0" borderId="0" xfId="523" quotePrefix="1" applyFont="1"/>
    <xf numFmtId="41" fontId="38" fillId="0" borderId="0" xfId="1" applyFont="1"/>
    <xf numFmtId="41" fontId="38" fillId="0" borderId="0" xfId="1" applyFont="1" applyAlignment="1"/>
    <xf numFmtId="0" fontId="0" fillId="0" borderId="0" xfId="0" applyAlignment="1">
      <alignment horizontal="center"/>
    </xf>
    <xf numFmtId="0" fontId="51" fillId="0" borderId="0" xfId="0" applyFont="1" applyAlignment="1">
      <alignment horizontal="centerContinuous"/>
    </xf>
    <xf numFmtId="0" fontId="52" fillId="0" borderId="0" xfId="0" applyFont="1" applyAlignment="1">
      <alignment horizontal="centerContinuous"/>
    </xf>
    <xf numFmtId="0" fontId="53" fillId="0" borderId="0" xfId="0" applyFont="1"/>
    <xf numFmtId="0" fontId="54" fillId="0" borderId="0" xfId="0" applyFont="1"/>
    <xf numFmtId="0" fontId="54" fillId="0" borderId="0" xfId="0" applyFont="1" applyAlignment="1">
      <alignment horizontal="center"/>
    </xf>
    <xf numFmtId="0" fontId="54" fillId="0" borderId="0" xfId="0" applyFont="1" applyAlignment="1"/>
    <xf numFmtId="0" fontId="56" fillId="0" borderId="44" xfId="0" applyFont="1" applyBorder="1" applyAlignment="1">
      <alignment horizontal="center" vertical="center"/>
    </xf>
    <xf numFmtId="0" fontId="56" fillId="0" borderId="45" xfId="0" applyFont="1" applyBorder="1" applyAlignment="1">
      <alignment horizontal="center" vertical="center"/>
    </xf>
    <xf numFmtId="0" fontId="56" fillId="0" borderId="45" xfId="0" applyFont="1" applyBorder="1" applyAlignment="1">
      <alignment horizontal="centerContinuous" vertical="center"/>
    </xf>
    <xf numFmtId="0" fontId="56" fillId="0" borderId="46" xfId="0" applyFont="1" applyBorder="1" applyAlignment="1">
      <alignment horizontal="center" vertical="center"/>
    </xf>
    <xf numFmtId="0" fontId="56" fillId="0" borderId="4" xfId="0" applyFont="1" applyBorder="1" applyAlignment="1">
      <alignment horizontal="center" vertical="center"/>
    </xf>
    <xf numFmtId="0" fontId="56" fillId="0" borderId="5" xfId="0" applyFont="1" applyBorder="1" applyAlignment="1">
      <alignment horizontal="center" vertical="center"/>
    </xf>
    <xf numFmtId="41" fontId="56" fillId="0" borderId="0" xfId="0" applyNumberFormat="1" applyFont="1" applyBorder="1" applyAlignment="1">
      <alignment vertical="center"/>
    </xf>
    <xf numFmtId="0" fontId="56" fillId="0" borderId="71" xfId="0" applyFont="1" applyBorder="1" applyAlignment="1">
      <alignment horizontal="center" vertical="center"/>
    </xf>
    <xf numFmtId="0" fontId="56" fillId="0" borderId="4" xfId="0" applyFont="1" applyBorder="1" applyAlignment="1">
      <alignment vertical="center"/>
    </xf>
    <xf numFmtId="0" fontId="56" fillId="0" borderId="71" xfId="0" applyFont="1" applyBorder="1" applyAlignment="1">
      <alignment vertical="center"/>
    </xf>
    <xf numFmtId="0" fontId="56" fillId="0" borderId="44" xfId="0" applyFont="1" applyBorder="1" applyAlignment="1">
      <alignment vertical="center"/>
    </xf>
    <xf numFmtId="41" fontId="56" fillId="0" borderId="45" xfId="0" applyNumberFormat="1" applyFont="1" applyBorder="1" applyAlignment="1">
      <alignment vertical="center"/>
    </xf>
    <xf numFmtId="0" fontId="56" fillId="0" borderId="46" xfId="0" applyFont="1" applyBorder="1" applyAlignment="1">
      <alignment vertical="center"/>
    </xf>
    <xf numFmtId="41" fontId="56" fillId="0" borderId="5" xfId="0" applyNumberFormat="1" applyFont="1" applyBorder="1" applyAlignment="1">
      <alignment vertical="center"/>
    </xf>
    <xf numFmtId="0" fontId="56" fillId="0" borderId="92" xfId="0" applyFont="1" applyBorder="1" applyAlignment="1"/>
    <xf numFmtId="0" fontId="56" fillId="0" borderId="93" xfId="0" applyFont="1" applyBorder="1" applyAlignment="1">
      <alignment horizontal="center" vertical="center"/>
    </xf>
    <xf numFmtId="41" fontId="56" fillId="0" borderId="93" xfId="0" applyNumberFormat="1" applyFont="1" applyBorder="1" applyAlignment="1"/>
    <xf numFmtId="0" fontId="56" fillId="0" borderId="52" xfId="0" applyFont="1" applyBorder="1" applyAlignment="1">
      <alignment vertical="center"/>
    </xf>
    <xf numFmtId="0" fontId="56" fillId="0" borderId="41" xfId="0" applyFont="1" applyBorder="1" applyAlignment="1">
      <alignment vertical="center"/>
    </xf>
    <xf numFmtId="0" fontId="56" fillId="0" borderId="42" xfId="0" applyFont="1" applyBorder="1" applyAlignment="1">
      <alignment horizontal="center" vertical="center"/>
    </xf>
    <xf numFmtId="41" fontId="56" fillId="0" borderId="42" xfId="0" applyNumberFormat="1" applyFont="1" applyBorder="1" applyAlignment="1">
      <alignment vertical="center"/>
    </xf>
    <xf numFmtId="0" fontId="56" fillId="0" borderId="25" xfId="0" applyFont="1" applyBorder="1" applyAlignment="1">
      <alignment vertical="center"/>
    </xf>
    <xf numFmtId="0" fontId="56" fillId="0" borderId="26" xfId="0" applyFont="1" applyBorder="1" applyAlignment="1">
      <alignment horizontal="center" vertical="center"/>
    </xf>
    <xf numFmtId="41" fontId="56" fillId="0" borderId="26" xfId="0" applyNumberFormat="1" applyFont="1" applyBorder="1" applyAlignment="1">
      <alignment vertical="center"/>
    </xf>
    <xf numFmtId="0" fontId="56" fillId="0" borderId="27" xfId="0" applyFont="1" applyBorder="1" applyAlignment="1">
      <alignment vertical="center"/>
    </xf>
    <xf numFmtId="0" fontId="56" fillId="0" borderId="51" xfId="0" applyFont="1" applyBorder="1" applyAlignment="1">
      <alignment horizontal="center" vertical="center"/>
    </xf>
    <xf numFmtId="0" fontId="56" fillId="0" borderId="56" xfId="0" applyFont="1" applyBorder="1" applyAlignment="1">
      <alignment horizontal="center" vertical="center"/>
    </xf>
    <xf numFmtId="41" fontId="56" fillId="0" borderId="56" xfId="0" applyNumberFormat="1" applyFont="1" applyBorder="1" applyAlignment="1">
      <alignment vertical="center"/>
    </xf>
    <xf numFmtId="0" fontId="54" fillId="0" borderId="5" xfId="0" applyFont="1" applyBorder="1" applyAlignment="1">
      <alignment horizontal="center" vertical="center"/>
    </xf>
    <xf numFmtId="0" fontId="54" fillId="0" borderId="71" xfId="0" applyFont="1" applyBorder="1"/>
    <xf numFmtId="0" fontId="54" fillId="0" borderId="45" xfId="0" applyFont="1" applyBorder="1" applyAlignment="1">
      <alignment horizontal="center" vertical="center"/>
    </xf>
    <xf numFmtId="0" fontId="54" fillId="0" borderId="46" xfId="0" applyFont="1" applyBorder="1"/>
    <xf numFmtId="0" fontId="55" fillId="0" borderId="44" xfId="0" applyFont="1" applyBorder="1" applyAlignment="1">
      <alignment horizontal="center" vertical="center" shrinkToFit="1"/>
    </xf>
    <xf numFmtId="0" fontId="55" fillId="0" borderId="45" xfId="0" applyFont="1" applyBorder="1" applyAlignment="1">
      <alignment horizontal="center" vertical="center" shrinkToFit="1"/>
    </xf>
    <xf numFmtId="41" fontId="55" fillId="0" borderId="45" xfId="1" applyFont="1" applyBorder="1" applyAlignment="1">
      <alignment horizontal="center" vertical="center" shrinkToFit="1"/>
    </xf>
    <xf numFmtId="41" fontId="55" fillId="0" borderId="45" xfId="0" applyNumberFormat="1" applyFont="1" applyBorder="1" applyAlignment="1">
      <alignment vertical="center" shrinkToFit="1"/>
    </xf>
    <xf numFmtId="9" fontId="55" fillId="0" borderId="46" xfId="2" applyFont="1" applyBorder="1" applyAlignment="1">
      <alignment horizontal="center" vertical="center"/>
    </xf>
    <xf numFmtId="0" fontId="53" fillId="0" borderId="0" xfId="0" applyFont="1" applyAlignment="1">
      <alignment horizontal="center"/>
    </xf>
    <xf numFmtId="0" fontId="53" fillId="0" borderId="0" xfId="0" applyFont="1" applyAlignment="1"/>
    <xf numFmtId="0" fontId="0" fillId="0" borderId="0" xfId="0" applyAlignment="1"/>
    <xf numFmtId="0" fontId="57" fillId="0" borderId="0" xfId="0" applyFont="1" applyAlignment="1">
      <alignment vertical="center"/>
    </xf>
    <xf numFmtId="41" fontId="57" fillId="0" borderId="0" xfId="1" applyFont="1" applyAlignment="1">
      <alignment vertical="center"/>
    </xf>
    <xf numFmtId="176" fontId="57" fillId="0" borderId="0" xfId="2" applyNumberFormat="1" applyFont="1" applyAlignment="1">
      <alignment vertical="center"/>
    </xf>
    <xf numFmtId="198" fontId="57" fillId="0" borderId="0" xfId="0" applyNumberFormat="1" applyFont="1" applyAlignment="1">
      <alignment vertical="center"/>
    </xf>
    <xf numFmtId="0" fontId="58" fillId="0" borderId="0" xfId="0" applyFont="1" applyAlignment="1">
      <alignment horizontal="centerContinuous" vertical="center"/>
    </xf>
    <xf numFmtId="0" fontId="57" fillId="0" borderId="0" xfId="0" applyFont="1" applyAlignment="1">
      <alignment horizontal="centerContinuous" vertical="center"/>
    </xf>
    <xf numFmtId="41" fontId="57" fillId="0" borderId="0" xfId="1" applyFont="1" applyAlignment="1">
      <alignment horizontal="centerContinuous" vertical="center"/>
    </xf>
    <xf numFmtId="176" fontId="57" fillId="0" borderId="0" xfId="2" applyNumberFormat="1" applyFont="1" applyAlignment="1">
      <alignment horizontal="centerContinuous" vertical="center"/>
    </xf>
    <xf numFmtId="176" fontId="57" fillId="0" borderId="0" xfId="2" applyNumberFormat="1" applyFont="1" applyAlignment="1">
      <alignment horizontal="right" vertical="center"/>
    </xf>
    <xf numFmtId="0" fontId="57" fillId="0" borderId="0" xfId="0" applyFont="1" applyAlignment="1">
      <alignment horizontal="center" vertical="center"/>
    </xf>
    <xf numFmtId="198" fontId="57" fillId="0" borderId="0" xfId="0" applyNumberFormat="1" applyFont="1" applyAlignment="1">
      <alignment horizontal="center" vertical="center"/>
    </xf>
    <xf numFmtId="41" fontId="57" fillId="0" borderId="0" xfId="1" applyFont="1" applyAlignment="1">
      <alignment horizontal="center" vertical="center"/>
    </xf>
    <xf numFmtId="0" fontId="57" fillId="0" borderId="42" xfId="0" applyFont="1" applyBorder="1" applyAlignment="1">
      <alignment horizontal="center" vertical="center"/>
    </xf>
    <xf numFmtId="41" fontId="57" fillId="0" borderId="8" xfId="1" applyFont="1" applyBorder="1" applyAlignment="1">
      <alignment vertical="center"/>
    </xf>
    <xf numFmtId="198" fontId="57" fillId="0" borderId="8" xfId="2" applyNumberFormat="1" applyFont="1" applyBorder="1" applyAlignment="1">
      <alignment vertical="center"/>
    </xf>
    <xf numFmtId="198" fontId="57" fillId="0" borderId="9" xfId="2" applyNumberFormat="1" applyFont="1" applyBorder="1" applyAlignment="1">
      <alignment vertical="center"/>
    </xf>
    <xf numFmtId="0" fontId="57" fillId="0" borderId="5" xfId="0" applyFont="1" applyBorder="1" applyAlignment="1">
      <alignment horizontal="center" vertical="center"/>
    </xf>
    <xf numFmtId="0" fontId="57" fillId="0" borderId="5" xfId="0" applyFont="1" applyBorder="1" applyAlignment="1">
      <alignment vertical="center"/>
    </xf>
    <xf numFmtId="41" fontId="57" fillId="0" borderId="8" xfId="1" applyFont="1" applyFill="1" applyBorder="1" applyAlignment="1">
      <alignment vertical="center"/>
    </xf>
    <xf numFmtId="0" fontId="57" fillId="0" borderId="6" xfId="0" applyFont="1" applyBorder="1" applyAlignment="1">
      <alignment vertical="center"/>
    </xf>
    <xf numFmtId="41" fontId="57" fillId="3" borderId="8" xfId="1" applyFont="1" applyFill="1" applyBorder="1" applyAlignment="1">
      <alignment horizontal="center" vertical="center"/>
    </xf>
    <xf numFmtId="198" fontId="57" fillId="3" borderId="8" xfId="2" applyNumberFormat="1" applyFont="1" applyFill="1" applyBorder="1" applyAlignment="1">
      <alignment vertical="center"/>
    </xf>
    <xf numFmtId="198" fontId="57" fillId="3" borderId="9" xfId="2" applyNumberFormat="1" applyFont="1" applyFill="1" applyBorder="1" applyAlignment="1">
      <alignment vertical="center"/>
    </xf>
    <xf numFmtId="41" fontId="57" fillId="0" borderId="5" xfId="1" applyFont="1" applyBorder="1" applyAlignment="1">
      <alignment vertical="center"/>
    </xf>
    <xf numFmtId="0" fontId="57" fillId="0" borderId="42" xfId="0" applyFont="1" applyFill="1" applyBorder="1" applyAlignment="1">
      <alignment horizontal="center" vertical="center"/>
    </xf>
    <xf numFmtId="198" fontId="59" fillId="28" borderId="8" xfId="1" applyNumberFormat="1" applyFont="1" applyFill="1" applyBorder="1" applyAlignment="1">
      <alignment vertical="center"/>
    </xf>
    <xf numFmtId="10" fontId="57" fillId="28" borderId="8" xfId="2" applyNumberFormat="1" applyFont="1" applyFill="1" applyBorder="1" applyAlignment="1">
      <alignment vertical="center"/>
    </xf>
    <xf numFmtId="0" fontId="57" fillId="0" borderId="5" xfId="0" applyFont="1" applyFill="1" applyBorder="1" applyAlignment="1">
      <alignment horizontal="center" vertical="center"/>
    </xf>
    <xf numFmtId="41" fontId="57" fillId="0" borderId="5" xfId="1" applyFont="1" applyFill="1" applyBorder="1" applyAlignment="1">
      <alignment vertical="center"/>
    </xf>
    <xf numFmtId="0" fontId="57" fillId="0" borderId="5" xfId="0" applyFont="1" applyFill="1" applyBorder="1" applyAlignment="1">
      <alignment vertical="center"/>
    </xf>
    <xf numFmtId="198" fontId="59" fillId="28" borderId="11" xfId="0" applyNumberFormat="1" applyFont="1" applyFill="1" applyBorder="1" applyAlignment="1">
      <alignment vertical="center"/>
    </xf>
    <xf numFmtId="198" fontId="60" fillId="0" borderId="8" xfId="2" applyNumberFormat="1" applyFont="1" applyBorder="1" applyAlignment="1">
      <alignment vertical="center"/>
    </xf>
    <xf numFmtId="198" fontId="60" fillId="0" borderId="9" xfId="2" applyNumberFormat="1" applyFont="1" applyBorder="1" applyAlignment="1">
      <alignment vertical="center"/>
    </xf>
    <xf numFmtId="198" fontId="59" fillId="27" borderId="8" xfId="1" applyNumberFormat="1" applyFont="1" applyFill="1" applyBorder="1" applyAlignment="1">
      <alignment vertical="center"/>
    </xf>
    <xf numFmtId="0" fontId="57" fillId="0" borderId="6" xfId="0" applyFont="1" applyFill="1" applyBorder="1" applyAlignment="1">
      <alignment vertical="center"/>
    </xf>
    <xf numFmtId="0" fontId="57" fillId="0" borderId="8" xfId="0" applyFont="1" applyFill="1" applyBorder="1" applyAlignment="1">
      <alignment horizontal="centerContinuous" vertical="center"/>
    </xf>
    <xf numFmtId="41" fontId="57" fillId="0" borderId="8" xfId="1" applyFont="1" applyBorder="1" applyAlignment="1">
      <alignment horizontal="centerContinuous" vertical="center"/>
    </xf>
    <xf numFmtId="198" fontId="57" fillId="0" borderId="51" xfId="0" applyNumberFormat="1" applyFont="1" applyBorder="1" applyAlignment="1">
      <alignment vertical="center"/>
    </xf>
    <xf numFmtId="10" fontId="57" fillId="0" borderId="52" xfId="2" applyNumberFormat="1" applyFont="1" applyBorder="1" applyAlignment="1">
      <alignment vertical="center"/>
    </xf>
    <xf numFmtId="198" fontId="57" fillId="0" borderId="43" xfId="0" applyNumberFormat="1" applyFont="1" applyBorder="1" applyAlignment="1">
      <alignment vertical="center"/>
    </xf>
    <xf numFmtId="10" fontId="57" fillId="0" borderId="9" xfId="2" applyNumberFormat="1" applyFont="1" applyBorder="1" applyAlignment="1">
      <alignment vertical="center"/>
    </xf>
    <xf numFmtId="0" fontId="57" fillId="0" borderId="43" xfId="0" applyFont="1" applyBorder="1" applyAlignment="1">
      <alignment horizontal="centerContinuous" vertical="center"/>
    </xf>
    <xf numFmtId="0" fontId="57" fillId="0" borderId="8" xfId="0" applyFont="1" applyBorder="1" applyAlignment="1">
      <alignment horizontal="centerContinuous" vertical="center"/>
    </xf>
    <xf numFmtId="198" fontId="57" fillId="0" borderId="54" xfId="0" applyNumberFormat="1" applyFont="1" applyBorder="1" applyAlignment="1">
      <alignment vertical="center"/>
    </xf>
    <xf numFmtId="10" fontId="57" fillId="0" borderId="18" xfId="2" applyNumberFormat="1" applyFont="1" applyBorder="1" applyAlignment="1">
      <alignment vertical="center"/>
    </xf>
    <xf numFmtId="0" fontId="57" fillId="0" borderId="41" xfId="0" applyFont="1" applyBorder="1" applyAlignment="1">
      <alignment horizontal="centerContinuous" vertical="center"/>
    </xf>
    <xf numFmtId="0" fontId="57" fillId="0" borderId="42" xfId="0" applyFont="1" applyBorder="1" applyAlignment="1">
      <alignment horizontal="centerContinuous" vertical="center"/>
    </xf>
    <xf numFmtId="41" fontId="57" fillId="0" borderId="42" xfId="1" applyFont="1" applyBorder="1" applyAlignment="1">
      <alignment horizontal="centerContinuous" vertical="center"/>
    </xf>
    <xf numFmtId="198" fontId="57" fillId="0" borderId="0" xfId="2" applyNumberFormat="1" applyFont="1" applyAlignment="1">
      <alignment vertical="center"/>
    </xf>
    <xf numFmtId="0" fontId="57" fillId="0" borderId="0" xfId="527" applyFont="1" applyBorder="1" applyAlignment="1">
      <alignment vertical="center"/>
    </xf>
    <xf numFmtId="41" fontId="57" fillId="0" borderId="0" xfId="382" applyFont="1" applyBorder="1" applyAlignment="1">
      <alignment vertical="center"/>
    </xf>
    <xf numFmtId="190" fontId="57" fillId="0" borderId="0" xfId="527" applyNumberFormat="1" applyFont="1" applyBorder="1" applyAlignment="1">
      <alignment vertical="center"/>
    </xf>
    <xf numFmtId="0" fontId="63" fillId="0" borderId="0" xfId="509" applyFont="1">
      <alignment vertical="center"/>
    </xf>
    <xf numFmtId="0" fontId="65" fillId="0" borderId="0" xfId="509" applyFont="1">
      <alignment vertical="center"/>
    </xf>
    <xf numFmtId="0" fontId="65" fillId="0" borderId="42" xfId="527" applyFont="1" applyBorder="1" applyAlignment="1">
      <alignment horizontal="center" vertical="center"/>
    </xf>
    <xf numFmtId="41" fontId="65" fillId="0" borderId="8" xfId="382" applyFont="1" applyBorder="1" applyAlignment="1">
      <alignment vertical="center"/>
    </xf>
    <xf numFmtId="0" fontId="65" fillId="0" borderId="5" xfId="527" applyFont="1" applyBorder="1" applyAlignment="1">
      <alignment horizontal="center" vertical="center"/>
    </xf>
    <xf numFmtId="0" fontId="65" fillId="0" borderId="5" xfId="527" applyFont="1" applyBorder="1" applyAlignment="1">
      <alignment vertical="center"/>
    </xf>
    <xf numFmtId="0" fontId="65" fillId="0" borderId="10" xfId="527" applyFont="1" applyFill="1" applyBorder="1" applyAlignment="1">
      <alignment vertical="center"/>
    </xf>
    <xf numFmtId="41" fontId="62" fillId="0" borderId="11" xfId="382" applyFont="1" applyFill="1" applyBorder="1" applyAlignment="1">
      <alignment horizontal="center" vertical="center"/>
    </xf>
    <xf numFmtId="0" fontId="65" fillId="0" borderId="8" xfId="527" applyFont="1" applyBorder="1" applyAlignment="1">
      <alignment horizontal="centerContinuous" vertical="center"/>
    </xf>
    <xf numFmtId="41" fontId="65" fillId="0" borderId="8" xfId="382" applyFont="1" applyBorder="1" applyAlignment="1">
      <alignment horizontal="centerContinuous" vertical="center"/>
    </xf>
    <xf numFmtId="0" fontId="57" fillId="0" borderId="0" xfId="527" applyFont="1" applyAlignment="1">
      <alignment vertical="center"/>
    </xf>
    <xf numFmtId="41" fontId="57" fillId="0" borderId="0" xfId="382" applyFont="1" applyAlignment="1">
      <alignment vertical="center"/>
    </xf>
    <xf numFmtId="190" fontId="57" fillId="0" borderId="0" xfId="527" applyNumberFormat="1" applyFont="1" applyAlignment="1">
      <alignment vertical="center"/>
    </xf>
    <xf numFmtId="198" fontId="57" fillId="0" borderId="8" xfId="2" applyNumberFormat="1" applyFont="1" applyFill="1" applyBorder="1" applyAlignment="1">
      <alignment vertical="center"/>
    </xf>
    <xf numFmtId="198" fontId="57" fillId="0" borderId="9" xfId="2" applyNumberFormat="1" applyFont="1" applyFill="1" applyBorder="1" applyAlignment="1">
      <alignment vertical="center"/>
    </xf>
    <xf numFmtId="198" fontId="57" fillId="0" borderId="42" xfId="2" applyNumberFormat="1" applyFont="1" applyFill="1" applyBorder="1" applyAlignment="1">
      <alignment vertical="center"/>
    </xf>
    <xf numFmtId="198" fontId="57" fillId="0" borderId="55" xfId="2" applyNumberFormat="1" applyFont="1" applyFill="1" applyBorder="1" applyAlignment="1">
      <alignment vertical="center"/>
    </xf>
    <xf numFmtId="198" fontId="57" fillId="32" borderId="8" xfId="2" applyNumberFormat="1" applyFont="1" applyFill="1" applyBorder="1" applyAlignment="1">
      <alignment vertical="center"/>
    </xf>
    <xf numFmtId="0" fontId="62" fillId="33" borderId="8" xfId="527" applyFont="1" applyFill="1" applyBorder="1" applyAlignment="1">
      <alignment horizontal="center" vertical="center"/>
    </xf>
    <xf numFmtId="41" fontId="62" fillId="33" borderId="8" xfId="382" applyFont="1" applyFill="1" applyBorder="1" applyAlignment="1">
      <alignment horizontal="center" vertical="center"/>
    </xf>
    <xf numFmtId="190" fontId="62" fillId="33" borderId="8" xfId="527" applyNumberFormat="1" applyFont="1" applyFill="1" applyBorder="1" applyAlignment="1">
      <alignment horizontal="center" vertical="center"/>
    </xf>
    <xf numFmtId="9" fontId="3" fillId="0" borderId="0" xfId="2" applyNumberFormat="1" applyFont="1" applyAlignment="1">
      <alignment vertical="center"/>
    </xf>
    <xf numFmtId="9" fontId="5" fillId="0" borderId="0" xfId="2" applyNumberFormat="1" applyFont="1" applyAlignment="1">
      <alignment vertical="center"/>
    </xf>
    <xf numFmtId="0" fontId="63" fillId="0" borderId="0" xfId="0" applyFont="1" applyAlignment="1">
      <alignment vertical="center"/>
    </xf>
    <xf numFmtId="0" fontId="76" fillId="0" borderId="0" xfId="0" applyFont="1" applyFill="1" applyBorder="1" applyAlignment="1">
      <alignment vertical="center"/>
    </xf>
    <xf numFmtId="190" fontId="57" fillId="0" borderId="0" xfId="528" applyNumberFormat="1" applyFont="1" applyBorder="1" applyAlignment="1">
      <alignment vertical="center"/>
    </xf>
    <xf numFmtId="190" fontId="63" fillId="0" borderId="0" xfId="528" applyNumberFormat="1" applyFont="1" applyBorder="1" applyAlignment="1">
      <alignment horizontal="right" vertical="center"/>
    </xf>
    <xf numFmtId="198" fontId="57" fillId="0" borderId="0" xfId="0" applyNumberFormat="1" applyFont="1" applyAlignment="1">
      <alignment horizontal="right" vertical="center"/>
    </xf>
    <xf numFmtId="0" fontId="61" fillId="0" borderId="0" xfId="0" applyFont="1" applyFill="1" applyBorder="1" applyAlignment="1">
      <alignment vertical="center"/>
    </xf>
    <xf numFmtId="0" fontId="57" fillId="34" borderId="44" xfId="0" applyFont="1" applyFill="1" applyBorder="1" applyAlignment="1">
      <alignment horizontal="centerContinuous" vertical="center"/>
    </xf>
    <xf numFmtId="0" fontId="57" fillId="34" borderId="45" xfId="0" applyFont="1" applyFill="1" applyBorder="1" applyAlignment="1">
      <alignment horizontal="centerContinuous" vertical="center"/>
    </xf>
    <xf numFmtId="41" fontId="57" fillId="34" borderId="45" xfId="1" applyFont="1" applyFill="1" applyBorder="1" applyAlignment="1">
      <alignment horizontal="centerContinuous" vertical="center"/>
    </xf>
    <xf numFmtId="198" fontId="57" fillId="34" borderId="45" xfId="2" applyNumberFormat="1" applyFont="1" applyFill="1" applyBorder="1" applyAlignment="1">
      <alignment vertical="center"/>
    </xf>
    <xf numFmtId="198" fontId="64" fillId="28" borderId="8" xfId="0" applyNumberFormat="1" applyFont="1" applyFill="1" applyBorder="1" applyAlignment="1">
      <alignment vertical="center"/>
    </xf>
    <xf numFmtId="198" fontId="59" fillId="0" borderId="8" xfId="1" applyNumberFormat="1" applyFont="1" applyFill="1" applyBorder="1" applyAlignment="1">
      <alignment vertical="center"/>
    </xf>
    <xf numFmtId="0" fontId="77" fillId="0" borderId="0" xfId="567" applyFont="1" applyFill="1" applyAlignment="1">
      <alignment vertical="center"/>
    </xf>
    <xf numFmtId="0" fontId="79" fillId="0" borderId="95" xfId="568" applyFont="1" applyBorder="1" applyAlignment="1">
      <alignment vertical="center"/>
    </xf>
    <xf numFmtId="0" fontId="80" fillId="0" borderId="0" xfId="568" applyFont="1" applyAlignment="1">
      <alignment horizontal="center" vertical="center"/>
    </xf>
    <xf numFmtId="0" fontId="82" fillId="0" borderId="0" xfId="568" applyFont="1" applyAlignment="1">
      <alignment horizontal="center" vertical="center"/>
    </xf>
    <xf numFmtId="0" fontId="81" fillId="0" borderId="96" xfId="568" applyFont="1" applyBorder="1" applyAlignment="1">
      <alignment horizontal="left" vertical="center"/>
    </xf>
    <xf numFmtId="0" fontId="84" fillId="0" borderId="0" xfId="567" applyFont="1" applyFill="1" applyAlignment="1">
      <alignment vertical="center"/>
    </xf>
    <xf numFmtId="0" fontId="83" fillId="35" borderId="43" xfId="567" applyFont="1" applyFill="1" applyBorder="1" applyAlignment="1">
      <alignment horizontal="center" vertical="center"/>
    </xf>
    <xf numFmtId="0" fontId="85" fillId="0" borderId="0" xfId="567" applyFont="1" applyFill="1" applyBorder="1" applyAlignment="1">
      <alignment horizontal="left" vertical="center"/>
    </xf>
    <xf numFmtId="0" fontId="85" fillId="0" borderId="73" xfId="567" applyFont="1" applyFill="1" applyBorder="1" applyAlignment="1">
      <alignment horizontal="left" vertical="center"/>
    </xf>
    <xf numFmtId="0" fontId="85" fillId="0" borderId="70" xfId="567" applyFont="1" applyFill="1" applyBorder="1" applyAlignment="1">
      <alignment horizontal="left" vertical="center"/>
    </xf>
    <xf numFmtId="0" fontId="85" fillId="0" borderId="0" xfId="567" applyFont="1" applyFill="1" applyBorder="1" applyAlignment="1">
      <alignment vertical="center"/>
    </xf>
    <xf numFmtId="0" fontId="85" fillId="0" borderId="70" xfId="567" applyFont="1" applyFill="1" applyBorder="1" applyAlignment="1">
      <alignment vertical="center"/>
    </xf>
    <xf numFmtId="0" fontId="85" fillId="0" borderId="19" xfId="567" applyFont="1" applyFill="1" applyBorder="1" applyAlignment="1">
      <alignment horizontal="left" vertical="center"/>
    </xf>
    <xf numFmtId="0" fontId="85" fillId="0" borderId="31" xfId="567" applyFont="1" applyFill="1" applyBorder="1" applyAlignment="1">
      <alignment horizontal="left" vertical="center"/>
    </xf>
    <xf numFmtId="0" fontId="85" fillId="0" borderId="100" xfId="567" applyFont="1" applyFill="1" applyBorder="1" applyAlignment="1">
      <alignment horizontal="left" vertical="center"/>
    </xf>
    <xf numFmtId="0" fontId="85" fillId="0" borderId="101" xfId="567" applyFont="1" applyFill="1" applyBorder="1" applyAlignment="1">
      <alignment horizontal="left" vertical="center"/>
    </xf>
    <xf numFmtId="0" fontId="84" fillId="0" borderId="0" xfId="567" applyFont="1" applyAlignment="1">
      <alignment horizontal="left" vertical="center"/>
    </xf>
    <xf numFmtId="0" fontId="84" fillId="0" borderId="0" xfId="567" applyFont="1" applyAlignment="1">
      <alignment vertical="center"/>
    </xf>
    <xf numFmtId="0" fontId="77" fillId="0" borderId="0" xfId="567" applyFont="1" applyAlignment="1">
      <alignment horizontal="left" vertical="center"/>
    </xf>
    <xf numFmtId="0" fontId="77" fillId="0" borderId="0" xfId="567" applyFont="1" applyAlignment="1">
      <alignment vertical="center"/>
    </xf>
    <xf numFmtId="0" fontId="85" fillId="0" borderId="102" xfId="567" applyFont="1" applyFill="1" applyBorder="1" applyAlignment="1">
      <alignment horizontal="left" vertical="center"/>
    </xf>
    <xf numFmtId="0" fontId="85" fillId="0" borderId="103" xfId="567" applyFont="1" applyFill="1" applyBorder="1" applyAlignment="1">
      <alignment horizontal="left" vertical="center"/>
    </xf>
    <xf numFmtId="0" fontId="85" fillId="0" borderId="104" xfId="567" applyFont="1" applyFill="1" applyBorder="1" applyAlignment="1">
      <alignment horizontal="left" vertical="center"/>
    </xf>
    <xf numFmtId="0" fontId="85" fillId="0" borderId="105" xfId="567" applyFont="1" applyFill="1" applyBorder="1" applyAlignment="1">
      <alignment horizontal="left" vertical="center"/>
    </xf>
    <xf numFmtId="0" fontId="85" fillId="0" borderId="106" xfId="567" applyFont="1" applyFill="1" applyBorder="1" applyAlignment="1">
      <alignment horizontal="left" vertical="center"/>
    </xf>
    <xf numFmtId="0" fontId="85" fillId="0" borderId="107" xfId="567" applyFont="1" applyFill="1" applyBorder="1" applyAlignment="1">
      <alignment horizontal="left" vertical="center"/>
    </xf>
    <xf numFmtId="0" fontId="85" fillId="0" borderId="0" xfId="567" applyFont="1" applyFill="1" applyBorder="1" applyAlignment="1">
      <alignment vertical="top"/>
    </xf>
    <xf numFmtId="0" fontId="85" fillId="0" borderId="104" xfId="567" applyFont="1" applyFill="1" applyBorder="1" applyAlignment="1">
      <alignment vertical="center"/>
    </xf>
    <xf numFmtId="0" fontId="85" fillId="0" borderId="105" xfId="567" applyFont="1" applyFill="1" applyBorder="1" applyAlignment="1">
      <alignment vertical="center"/>
    </xf>
    <xf numFmtId="0" fontId="85" fillId="0" borderId="19" xfId="567" applyFont="1" applyFill="1" applyBorder="1" applyAlignment="1">
      <alignment vertical="center"/>
    </xf>
    <xf numFmtId="0" fontId="59" fillId="33" borderId="1" xfId="0" applyFont="1" applyFill="1" applyBorder="1" applyAlignment="1">
      <alignment horizontal="center" vertical="center"/>
    </xf>
    <xf numFmtId="0" fontId="59" fillId="33" borderId="2" xfId="0" applyFont="1" applyFill="1" applyBorder="1" applyAlignment="1">
      <alignment horizontal="center" vertical="center"/>
    </xf>
    <xf numFmtId="41" fontId="59" fillId="33" borderId="2" xfId="1" applyFont="1" applyFill="1" applyBorder="1" applyAlignment="1">
      <alignment horizontal="center" vertical="center"/>
    </xf>
    <xf numFmtId="176" fontId="59" fillId="33" borderId="2" xfId="2" applyNumberFormat="1" applyFont="1" applyFill="1" applyBorder="1" applyAlignment="1">
      <alignment horizontal="center" vertical="center"/>
    </xf>
    <xf numFmtId="176" fontId="59" fillId="33" borderId="3" xfId="2" applyNumberFormat="1" applyFont="1" applyFill="1" applyBorder="1" applyAlignment="1">
      <alignment horizontal="center" vertical="center"/>
    </xf>
    <xf numFmtId="198" fontId="57" fillId="31" borderId="8" xfId="2" applyNumberFormat="1" applyFont="1" applyFill="1" applyBorder="1" applyAlignment="1">
      <alignment vertical="center"/>
    </xf>
    <xf numFmtId="198" fontId="57" fillId="31" borderId="9" xfId="2" applyNumberFormat="1" applyFont="1" applyFill="1" applyBorder="1" applyAlignment="1">
      <alignment vertical="center"/>
    </xf>
    <xf numFmtId="0" fontId="57" fillId="31" borderId="41" xfId="0" applyFont="1" applyFill="1" applyBorder="1" applyAlignment="1">
      <alignment horizontal="center" vertical="center"/>
    </xf>
    <xf numFmtId="0" fontId="57" fillId="31" borderId="4" xfId="0" applyFont="1" applyFill="1" applyBorder="1" applyAlignment="1">
      <alignment horizontal="center" vertical="center"/>
    </xf>
    <xf numFmtId="0" fontId="57" fillId="31" borderId="4" xfId="0" applyFont="1" applyFill="1" applyBorder="1" applyAlignment="1">
      <alignment vertical="center"/>
    </xf>
    <xf numFmtId="189" fontId="57" fillId="31" borderId="4" xfId="1" applyNumberFormat="1" applyFont="1" applyFill="1" applyBorder="1" applyAlignment="1">
      <alignment vertical="center"/>
    </xf>
    <xf numFmtId="0" fontId="57" fillId="31" borderId="53" xfId="0" applyFont="1" applyFill="1" applyBorder="1" applyAlignment="1">
      <alignment vertical="center"/>
    </xf>
    <xf numFmtId="0" fontId="83" fillId="35" borderId="92" xfId="567" applyFont="1" applyFill="1" applyBorder="1" applyAlignment="1">
      <alignment horizontal="center" vertical="center"/>
    </xf>
    <xf numFmtId="0" fontId="85" fillId="36" borderId="0" xfId="567" applyFont="1" applyFill="1" applyBorder="1" applyAlignment="1">
      <alignment horizontal="left" vertical="center"/>
    </xf>
    <xf numFmtId="0" fontId="85" fillId="36" borderId="70" xfId="567" applyFont="1" applyFill="1" applyBorder="1" applyAlignment="1">
      <alignment horizontal="left" vertical="center"/>
    </xf>
    <xf numFmtId="0" fontId="85" fillId="36" borderId="19" xfId="567" applyFont="1" applyFill="1" applyBorder="1" applyAlignment="1">
      <alignment horizontal="left" vertical="center"/>
    </xf>
    <xf numFmtId="0" fontId="85" fillId="36" borderId="105" xfId="567" applyFont="1" applyFill="1" applyBorder="1" applyAlignment="1">
      <alignment horizontal="left" vertical="center"/>
    </xf>
    <xf numFmtId="0" fontId="85" fillId="36" borderId="104" xfId="567" applyFont="1" applyFill="1" applyBorder="1" applyAlignment="1">
      <alignment horizontal="left" vertical="center"/>
    </xf>
    <xf numFmtId="198" fontId="57" fillId="34" borderId="46" xfId="2" applyNumberFormat="1" applyFont="1" applyFill="1" applyBorder="1" applyAlignment="1">
      <alignment vertical="center"/>
    </xf>
    <xf numFmtId="0" fontId="83" fillId="35" borderId="111" xfId="567" applyFont="1" applyFill="1" applyBorder="1" applyAlignment="1">
      <alignment horizontal="center" vertical="center"/>
    </xf>
    <xf numFmtId="0" fontId="59" fillId="33" borderId="111" xfId="0" applyFont="1" applyFill="1" applyBorder="1" applyAlignment="1">
      <alignment horizontal="center" vertical="center"/>
    </xf>
    <xf numFmtId="41" fontId="89" fillId="38" borderId="115" xfId="1" applyFont="1" applyFill="1" applyBorder="1" applyAlignment="1">
      <alignment horizontal="right" vertical="center" wrapText="1"/>
    </xf>
    <xf numFmtId="41" fontId="89" fillId="38" borderId="119" xfId="1" applyFont="1" applyFill="1" applyBorder="1" applyAlignment="1">
      <alignment horizontal="right" vertical="center" wrapText="1"/>
    </xf>
    <xf numFmtId="41" fontId="90" fillId="38" borderId="122" xfId="1" applyFont="1" applyFill="1" applyBorder="1" applyAlignment="1">
      <alignment horizontal="right" vertical="center" wrapText="1"/>
    </xf>
    <xf numFmtId="41" fontId="89" fillId="0" borderId="115" xfId="1" applyFont="1" applyFill="1" applyBorder="1" applyAlignment="1">
      <alignment horizontal="right" vertical="center" wrapText="1"/>
    </xf>
    <xf numFmtId="41" fontId="89" fillId="0" borderId="116" xfId="1" applyFont="1" applyFill="1" applyBorder="1" applyAlignment="1">
      <alignment horizontal="right" vertical="center" wrapText="1"/>
    </xf>
    <xf numFmtId="41" fontId="89" fillId="0" borderId="117" xfId="1" applyFont="1" applyFill="1" applyBorder="1" applyAlignment="1">
      <alignment horizontal="right" vertical="center" wrapText="1"/>
    </xf>
    <xf numFmtId="41" fontId="89" fillId="0" borderId="118" xfId="1" applyFont="1" applyFill="1" applyBorder="1" applyAlignment="1">
      <alignment horizontal="right" vertical="center" wrapText="1"/>
    </xf>
    <xf numFmtId="41" fontId="89" fillId="38" borderId="120" xfId="1" applyFont="1" applyFill="1" applyBorder="1" applyAlignment="1">
      <alignment horizontal="right" vertical="center" wrapText="1"/>
    </xf>
    <xf numFmtId="41" fontId="89" fillId="38" borderId="116" xfId="1" applyFont="1" applyFill="1" applyBorder="1" applyAlignment="1">
      <alignment horizontal="right" vertical="center" wrapText="1"/>
    </xf>
    <xf numFmtId="41" fontId="90" fillId="38" borderId="121" xfId="1" applyFont="1" applyFill="1" applyBorder="1" applyAlignment="1">
      <alignment horizontal="right" vertical="center" wrapText="1"/>
    </xf>
    <xf numFmtId="41" fontId="57" fillId="0" borderId="8" xfId="2" applyNumberFormat="1" applyFont="1" applyBorder="1" applyAlignment="1">
      <alignment vertical="center"/>
    </xf>
    <xf numFmtId="41" fontId="57" fillId="0" borderId="9" xfId="2" applyNumberFormat="1" applyFont="1" applyBorder="1" applyAlignment="1">
      <alignment vertical="center"/>
    </xf>
    <xf numFmtId="41" fontId="57" fillId="31" borderId="8" xfId="2" applyNumberFormat="1" applyFont="1" applyFill="1" applyBorder="1" applyAlignment="1">
      <alignment vertical="center"/>
    </xf>
    <xf numFmtId="41" fontId="57" fillId="31" borderId="9" xfId="2" applyNumberFormat="1" applyFont="1" applyFill="1" applyBorder="1" applyAlignment="1">
      <alignment vertical="center"/>
    </xf>
    <xf numFmtId="41" fontId="57" fillId="0" borderId="8" xfId="2" applyNumberFormat="1" applyFont="1" applyFill="1" applyBorder="1" applyAlignment="1">
      <alignment vertical="center"/>
    </xf>
    <xf numFmtId="41" fontId="57" fillId="0" borderId="9" xfId="2" applyNumberFormat="1" applyFont="1" applyFill="1" applyBorder="1" applyAlignment="1">
      <alignment vertical="center"/>
    </xf>
    <xf numFmtId="41" fontId="57" fillId="0" borderId="42" xfId="2" applyNumberFormat="1" applyFont="1" applyFill="1" applyBorder="1" applyAlignment="1">
      <alignment vertical="center"/>
    </xf>
    <xf numFmtId="41" fontId="57" fillId="0" borderId="55" xfId="2" applyNumberFormat="1" applyFont="1" applyFill="1" applyBorder="1" applyAlignment="1">
      <alignment vertical="center"/>
    </xf>
    <xf numFmtId="41" fontId="57" fillId="3" borderId="8" xfId="2" applyNumberFormat="1" applyFont="1" applyFill="1" applyBorder="1" applyAlignment="1">
      <alignment vertical="center"/>
    </xf>
    <xf numFmtId="41" fontId="57" fillId="3" borderId="9" xfId="2" applyNumberFormat="1" applyFont="1" applyFill="1" applyBorder="1" applyAlignment="1">
      <alignment vertical="center"/>
    </xf>
    <xf numFmtId="41" fontId="60" fillId="0" borderId="8" xfId="2" applyNumberFormat="1" applyFont="1" applyBorder="1" applyAlignment="1">
      <alignment vertical="center"/>
    </xf>
    <xf numFmtId="41" fontId="60" fillId="0" borderId="9" xfId="2" applyNumberFormat="1" applyFont="1" applyBorder="1" applyAlignment="1">
      <alignment vertical="center"/>
    </xf>
    <xf numFmtId="189" fontId="57" fillId="31" borderId="8" xfId="2" applyNumberFormat="1" applyFont="1" applyFill="1" applyBorder="1" applyAlignment="1">
      <alignment vertical="center"/>
    </xf>
    <xf numFmtId="189" fontId="57" fillId="0" borderId="8" xfId="2" applyNumberFormat="1" applyFont="1" applyFill="1" applyBorder="1" applyAlignment="1">
      <alignment vertical="center"/>
    </xf>
    <xf numFmtId="189" fontId="57" fillId="0" borderId="42" xfId="2" applyNumberFormat="1" applyFont="1" applyFill="1" applyBorder="1" applyAlignment="1">
      <alignment vertical="center"/>
    </xf>
    <xf numFmtId="176" fontId="57" fillId="0" borderId="8" xfId="2" applyNumberFormat="1" applyFont="1" applyBorder="1" applyAlignment="1">
      <alignment vertical="center"/>
    </xf>
    <xf numFmtId="0" fontId="59" fillId="33" borderId="125" xfId="0" applyFont="1" applyFill="1" applyBorder="1" applyAlignment="1">
      <alignment horizontal="center" vertical="center"/>
    </xf>
    <xf numFmtId="41" fontId="59" fillId="33" borderId="125" xfId="1" applyFont="1" applyFill="1" applyBorder="1" applyAlignment="1">
      <alignment horizontal="center" vertical="center"/>
    </xf>
    <xf numFmtId="0" fontId="57" fillId="0" borderId="126" xfId="0" applyFont="1" applyBorder="1" applyAlignment="1">
      <alignment vertical="center"/>
    </xf>
    <xf numFmtId="176" fontId="57" fillId="0" borderId="124" xfId="2" applyNumberFormat="1" applyFont="1" applyBorder="1" applyAlignment="1">
      <alignment vertical="center"/>
    </xf>
    <xf numFmtId="176" fontId="57" fillId="0" borderId="124" xfId="2" applyNumberFormat="1" applyFont="1" applyBorder="1" applyAlignment="1">
      <alignment horizontal="right" vertical="center"/>
    </xf>
    <xf numFmtId="0" fontId="57" fillId="0" borderId="11" xfId="0" applyFont="1" applyBorder="1" applyAlignment="1">
      <alignment vertical="center"/>
    </xf>
    <xf numFmtId="176" fontId="57" fillId="0" borderId="29" xfId="2" applyNumberFormat="1" applyFont="1" applyBorder="1" applyAlignment="1">
      <alignment vertical="center"/>
    </xf>
    <xf numFmtId="176" fontId="57" fillId="0" borderId="29" xfId="2" applyNumberFormat="1" applyFont="1" applyBorder="1" applyAlignment="1">
      <alignment horizontal="right" vertical="center"/>
    </xf>
    <xf numFmtId="204" fontId="57" fillId="0" borderId="11" xfId="0" applyNumberFormat="1" applyFont="1" applyBorder="1" applyAlignment="1">
      <alignment vertical="center"/>
    </xf>
    <xf numFmtId="0" fontId="91" fillId="0" borderId="11" xfId="0" applyFont="1" applyBorder="1" applyAlignment="1">
      <alignment horizontal="justify" vertical="center"/>
    </xf>
    <xf numFmtId="0" fontId="57" fillId="0" borderId="16" xfId="0" applyFont="1" applyBorder="1" applyAlignment="1">
      <alignment vertical="center"/>
    </xf>
    <xf numFmtId="176" fontId="57" fillId="0" borderId="15" xfId="2" applyNumberFormat="1" applyFont="1" applyBorder="1" applyAlignment="1">
      <alignment vertical="center"/>
    </xf>
    <xf numFmtId="176" fontId="57" fillId="0" borderId="15" xfId="2" applyNumberFormat="1" applyFont="1" applyBorder="1" applyAlignment="1">
      <alignment horizontal="right" vertical="center"/>
    </xf>
    <xf numFmtId="0" fontId="93" fillId="0" borderId="11" xfId="0" applyFont="1" applyBorder="1" applyAlignment="1">
      <alignment horizontal="justify" vertical="center"/>
    </xf>
    <xf numFmtId="176" fontId="59" fillId="33" borderId="127" xfId="2" applyNumberFormat="1" applyFont="1" applyFill="1" applyBorder="1" applyAlignment="1">
      <alignment horizontal="center" vertical="center"/>
    </xf>
    <xf numFmtId="176" fontId="57" fillId="0" borderId="126" xfId="2" applyNumberFormat="1" applyFont="1" applyBorder="1" applyAlignment="1">
      <alignment horizontal="right" vertical="center"/>
    </xf>
    <xf numFmtId="176" fontId="57" fillId="0" borderId="11" xfId="2" applyNumberFormat="1" applyFont="1" applyBorder="1" applyAlignment="1">
      <alignment horizontal="right" vertical="center"/>
    </xf>
    <xf numFmtId="176" fontId="57" fillId="0" borderId="16" xfId="2" applyNumberFormat="1" applyFont="1" applyBorder="1" applyAlignment="1">
      <alignment horizontal="right" vertical="center"/>
    </xf>
    <xf numFmtId="176" fontId="57" fillId="0" borderId="128" xfId="2" applyNumberFormat="1" applyFont="1" applyBorder="1" applyAlignment="1">
      <alignment horizontal="right" vertical="center"/>
    </xf>
    <xf numFmtId="176" fontId="57" fillId="0" borderId="9" xfId="2" applyNumberFormat="1" applyFont="1" applyBorder="1" applyAlignment="1">
      <alignment horizontal="right" vertical="center"/>
    </xf>
    <xf numFmtId="176" fontId="57" fillId="0" borderId="18" xfId="2" applyNumberFormat="1" applyFont="1" applyBorder="1" applyAlignment="1">
      <alignment horizontal="right" vertical="center"/>
    </xf>
    <xf numFmtId="0" fontId="57" fillId="0" borderId="11" xfId="0" applyFont="1" applyBorder="1" applyAlignment="1">
      <alignment vertical="center" wrapText="1"/>
    </xf>
    <xf numFmtId="43" fontId="57" fillId="0" borderId="8" xfId="2" applyNumberFormat="1" applyFont="1" applyBorder="1" applyAlignment="1">
      <alignment vertical="center"/>
    </xf>
    <xf numFmtId="43" fontId="57" fillId="3" borderId="8" xfId="2" applyNumberFormat="1" applyFont="1" applyFill="1" applyBorder="1" applyAlignment="1">
      <alignment vertical="center"/>
    </xf>
    <xf numFmtId="43" fontId="57" fillId="31" borderId="8" xfId="2" applyNumberFormat="1" applyFont="1" applyFill="1" applyBorder="1" applyAlignment="1">
      <alignment vertical="center"/>
    </xf>
    <xf numFmtId="43" fontId="57" fillId="0" borderId="8" xfId="2" applyNumberFormat="1" applyFont="1" applyFill="1" applyBorder="1" applyAlignment="1">
      <alignment vertical="center"/>
    </xf>
    <xf numFmtId="43" fontId="57" fillId="34" borderId="45" xfId="2" applyNumberFormat="1" applyFont="1" applyFill="1" applyBorder="1" applyAlignment="1">
      <alignment vertical="center"/>
    </xf>
    <xf numFmtId="43" fontId="57" fillId="0" borderId="9" xfId="2" applyNumberFormat="1" applyFont="1" applyBorder="1" applyAlignment="1">
      <alignment vertical="center"/>
    </xf>
    <xf numFmtId="43" fontId="57" fillId="3" borderId="9" xfId="2" applyNumberFormat="1" applyFont="1" applyFill="1" applyBorder="1" applyAlignment="1">
      <alignment vertical="center"/>
    </xf>
    <xf numFmtId="43" fontId="57" fillId="0" borderId="9" xfId="2" applyNumberFormat="1" applyFont="1" applyFill="1" applyBorder="1" applyAlignment="1">
      <alignment vertical="center"/>
    </xf>
    <xf numFmtId="43" fontId="57" fillId="0" borderId="42" xfId="2" applyNumberFormat="1" applyFont="1" applyFill="1" applyBorder="1" applyAlignment="1">
      <alignment vertical="center"/>
    </xf>
    <xf numFmtId="43" fontId="57" fillId="0" borderId="55" xfId="2" applyNumberFormat="1" applyFont="1" applyFill="1" applyBorder="1" applyAlignment="1">
      <alignment vertical="center"/>
    </xf>
    <xf numFmtId="43" fontId="57" fillId="34" borderId="46" xfId="2" applyNumberFormat="1" applyFont="1" applyFill="1" applyBorder="1" applyAlignment="1">
      <alignment vertical="center"/>
    </xf>
    <xf numFmtId="189" fontId="57" fillId="3" borderId="8" xfId="2" applyNumberFormat="1" applyFont="1" applyFill="1" applyBorder="1" applyAlignment="1">
      <alignment vertical="center"/>
    </xf>
    <xf numFmtId="189" fontId="57" fillId="34" borderId="45" xfId="2" applyNumberFormat="1" applyFont="1" applyFill="1" applyBorder="1" applyAlignment="1">
      <alignment vertical="center"/>
    </xf>
    <xf numFmtId="41" fontId="5" fillId="0" borderId="0" xfId="2" applyNumberFormat="1" applyFont="1" applyAlignment="1">
      <alignment vertical="center"/>
    </xf>
    <xf numFmtId="41" fontId="57" fillId="34" borderId="45" xfId="2" applyNumberFormat="1" applyFont="1" applyFill="1" applyBorder="1" applyAlignment="1">
      <alignment vertical="center"/>
    </xf>
    <xf numFmtId="41" fontId="3" fillId="0" borderId="0" xfId="2" applyNumberFormat="1" applyFont="1" applyAlignment="1">
      <alignment vertical="center"/>
    </xf>
    <xf numFmtId="9" fontId="57" fillId="0" borderId="0" xfId="2" applyFont="1" applyAlignment="1">
      <alignment vertical="center"/>
    </xf>
    <xf numFmtId="0" fontId="85" fillId="0" borderId="129" xfId="567" applyFont="1" applyFill="1" applyBorder="1" applyAlignment="1">
      <alignment horizontal="left" vertical="center"/>
    </xf>
    <xf numFmtId="0" fontId="85" fillId="0" borderId="130" xfId="567" applyFont="1" applyFill="1" applyBorder="1" applyAlignment="1">
      <alignment horizontal="left" vertical="center"/>
    </xf>
    <xf numFmtId="0" fontId="85" fillId="0" borderId="131" xfId="567" applyFont="1" applyFill="1" applyBorder="1" applyAlignment="1">
      <alignment horizontal="left" vertical="center"/>
    </xf>
    <xf numFmtId="0" fontId="85" fillId="0" borderId="132" xfId="567" applyFont="1" applyFill="1" applyBorder="1" applyAlignment="1">
      <alignment horizontal="left" vertical="center"/>
    </xf>
    <xf numFmtId="0" fontId="85" fillId="36" borderId="105" xfId="567" applyFont="1" applyFill="1" applyBorder="1" applyAlignment="1">
      <alignment vertical="center"/>
    </xf>
    <xf numFmtId="0" fontId="62" fillId="33" borderId="42" xfId="527" applyFont="1" applyFill="1" applyBorder="1" applyAlignment="1">
      <alignment horizontal="center" vertical="center"/>
    </xf>
    <xf numFmtId="0" fontId="65" fillId="33" borderId="5" xfId="527" applyFont="1" applyFill="1" applyBorder="1" applyAlignment="1">
      <alignment horizontal="center" vertical="center"/>
    </xf>
    <xf numFmtId="0" fontId="65" fillId="33" borderId="5" xfId="527" applyFont="1" applyFill="1" applyBorder="1" applyAlignment="1">
      <alignment vertical="center"/>
    </xf>
    <xf numFmtId="0" fontId="65" fillId="33" borderId="6" xfId="527" applyFont="1" applyFill="1" applyBorder="1" applyAlignment="1">
      <alignment horizontal="centerContinuous" vertical="center"/>
    </xf>
    <xf numFmtId="0" fontId="65" fillId="33" borderId="8" xfId="527" applyFont="1" applyFill="1" applyBorder="1" applyAlignment="1">
      <alignment horizontal="centerContinuous" vertical="center"/>
    </xf>
    <xf numFmtId="41" fontId="65" fillId="33" borderId="8" xfId="382" applyFont="1" applyFill="1" applyBorder="1" applyAlignment="1">
      <alignment horizontal="centerContinuous" vertical="center"/>
    </xf>
    <xf numFmtId="0" fontId="65" fillId="33" borderId="42" xfId="527" applyFont="1" applyFill="1" applyBorder="1" applyAlignment="1">
      <alignment horizontal="centerContinuous" vertical="center"/>
    </xf>
    <xf numFmtId="0" fontId="65" fillId="33" borderId="50" xfId="527" applyFont="1" applyFill="1" applyBorder="1" applyAlignment="1">
      <alignment horizontal="centerContinuous" vertical="center"/>
    </xf>
    <xf numFmtId="41" fontId="65" fillId="33" borderId="42" xfId="382" applyFont="1" applyFill="1" applyBorder="1" applyAlignment="1">
      <alignment horizontal="centerContinuous" vertical="center"/>
    </xf>
    <xf numFmtId="41" fontId="65" fillId="33" borderId="50" xfId="382" applyFont="1" applyFill="1" applyBorder="1" applyAlignment="1">
      <alignment horizontal="centerContinuous" vertical="center"/>
    </xf>
    <xf numFmtId="0" fontId="63" fillId="39" borderId="0" xfId="0" applyFont="1" applyFill="1" applyAlignment="1">
      <alignment vertical="center"/>
    </xf>
    <xf numFmtId="0" fontId="63" fillId="39" borderId="0" xfId="0" applyFont="1" applyFill="1" applyBorder="1" applyAlignment="1">
      <alignment horizontal="centerContinuous" vertical="center"/>
    </xf>
    <xf numFmtId="41" fontId="63" fillId="39" borderId="0" xfId="1" applyFont="1" applyFill="1" applyBorder="1" applyAlignment="1">
      <alignment horizontal="centerContinuous" vertical="center"/>
    </xf>
    <xf numFmtId="190" fontId="63" fillId="39" borderId="0" xfId="0" applyNumberFormat="1" applyFont="1" applyFill="1" applyBorder="1" applyAlignment="1">
      <alignment vertical="center"/>
    </xf>
    <xf numFmtId="0" fontId="57" fillId="39" borderId="0" xfId="527" applyFont="1" applyFill="1" applyAlignment="1">
      <alignment vertical="center"/>
    </xf>
    <xf numFmtId="41" fontId="57" fillId="39" borderId="0" xfId="382" applyFont="1" applyFill="1" applyAlignment="1">
      <alignment vertical="center"/>
    </xf>
    <xf numFmtId="190" fontId="57" fillId="39" borderId="0" xfId="527" applyNumberFormat="1" applyFont="1" applyFill="1" applyAlignment="1">
      <alignment vertical="center"/>
    </xf>
    <xf numFmtId="41" fontId="65" fillId="0" borderId="8" xfId="1" applyFont="1" applyBorder="1" applyAlignment="1">
      <alignment vertical="center"/>
    </xf>
    <xf numFmtId="41" fontId="65" fillId="0" borderId="8" xfId="1" applyFont="1" applyFill="1" applyBorder="1" applyAlignment="1">
      <alignment vertical="center"/>
    </xf>
    <xf numFmtId="41" fontId="65" fillId="33" borderId="8" xfId="1" applyFont="1" applyFill="1" applyBorder="1" applyAlignment="1">
      <alignment vertical="center"/>
    </xf>
    <xf numFmtId="41" fontId="65" fillId="33" borderId="42" xfId="1" applyFont="1" applyFill="1" applyBorder="1" applyAlignment="1">
      <alignment vertical="center"/>
    </xf>
    <xf numFmtId="41" fontId="65" fillId="33" borderId="50" xfId="1" applyFont="1" applyFill="1" applyBorder="1" applyAlignment="1">
      <alignment vertical="center"/>
    </xf>
    <xf numFmtId="0" fontId="75" fillId="0" borderId="0" xfId="527" applyFont="1" applyBorder="1" applyAlignment="1">
      <alignment horizontal="center" vertical="center"/>
    </xf>
    <xf numFmtId="0" fontId="38" fillId="0" borderId="63" xfId="523" applyFont="1" applyBorder="1" applyAlignment="1" applyProtection="1">
      <alignment horizontal="center" vertical="center"/>
    </xf>
    <xf numFmtId="0" fontId="38" fillId="0" borderId="64" xfId="523" applyFont="1" applyBorder="1" applyAlignment="1" applyProtection="1">
      <alignment horizontal="center" vertical="center"/>
    </xf>
    <xf numFmtId="0" fontId="38" fillId="0" borderId="65" xfId="523" applyFont="1" applyBorder="1" applyAlignment="1" applyProtection="1">
      <alignment horizontal="center" vertical="center"/>
    </xf>
    <xf numFmtId="192" fontId="49" fillId="0" borderId="66" xfId="523" applyNumberFormat="1" applyFont="1" applyBorder="1" applyAlignment="1" applyProtection="1">
      <alignment horizontal="left" vertical="center" wrapText="1"/>
    </xf>
    <xf numFmtId="192" fontId="49" fillId="0" borderId="64" xfId="523" applyNumberFormat="1" applyFont="1" applyBorder="1" applyAlignment="1" applyProtection="1">
      <alignment horizontal="left" vertical="center" wrapText="1"/>
    </xf>
    <xf numFmtId="192" fontId="49" fillId="0" borderId="67" xfId="523" applyNumberFormat="1" applyFont="1" applyBorder="1" applyAlignment="1" applyProtection="1">
      <alignment horizontal="left" vertical="center" wrapText="1"/>
    </xf>
    <xf numFmtId="0" fontId="48" fillId="0" borderId="0" xfId="523" applyFont="1" applyAlignment="1" applyProtection="1">
      <alignment horizontal="center" vertical="center"/>
    </xf>
    <xf numFmtId="0" fontId="38" fillId="0" borderId="57" xfId="523" applyFont="1" applyBorder="1" applyAlignment="1" applyProtection="1">
      <alignment horizontal="center" vertical="center"/>
    </xf>
    <xf numFmtId="0" fontId="38" fillId="0" borderId="28" xfId="523" applyFont="1" applyBorder="1" applyAlignment="1" applyProtection="1">
      <alignment horizontal="center" vertical="center"/>
    </xf>
    <xf numFmtId="0" fontId="38" fillId="0" borderId="58" xfId="523" applyFont="1" applyBorder="1" applyAlignment="1" applyProtection="1">
      <alignment horizontal="center" vertical="center"/>
    </xf>
    <xf numFmtId="0" fontId="42" fillId="0" borderId="59" xfId="522" applyFont="1" applyBorder="1" applyAlignment="1" applyProtection="1">
      <alignment horizontal="left" vertical="center"/>
    </xf>
    <xf numFmtId="0" fontId="42" fillId="0" borderId="28" xfId="522" applyFont="1" applyBorder="1" applyAlignment="1" applyProtection="1">
      <alignment horizontal="left" vertical="center"/>
    </xf>
    <xf numFmtId="0" fontId="42" fillId="0" borderId="60" xfId="522" applyFont="1" applyBorder="1" applyAlignment="1" applyProtection="1">
      <alignment horizontal="left" vertical="center"/>
    </xf>
    <xf numFmtId="0" fontId="38" fillId="0" borderId="49" xfId="523" applyFont="1" applyBorder="1" applyAlignment="1" applyProtection="1">
      <alignment horizontal="center" vertical="center"/>
    </xf>
    <xf numFmtId="0" fontId="38" fillId="0" borderId="48" xfId="523" applyFont="1" applyBorder="1" applyAlignment="1" applyProtection="1">
      <alignment horizontal="center" vertical="center"/>
    </xf>
    <xf numFmtId="0" fontId="38" fillId="0" borderId="61" xfId="523" applyFont="1" applyBorder="1" applyAlignment="1" applyProtection="1">
      <alignment horizontal="center" vertical="center"/>
    </xf>
    <xf numFmtId="191" fontId="49" fillId="0" borderId="62" xfId="523" applyNumberFormat="1" applyFont="1" applyBorder="1" applyAlignment="1" applyProtection="1">
      <alignment horizontal="left" vertical="center" wrapText="1"/>
    </xf>
    <xf numFmtId="191" fontId="49" fillId="0" borderId="48" xfId="523" applyNumberFormat="1" applyFont="1" applyBorder="1" applyAlignment="1" applyProtection="1">
      <alignment horizontal="left" vertical="center" wrapText="1"/>
    </xf>
    <xf numFmtId="191" fontId="49" fillId="0" borderId="47" xfId="523" applyNumberFormat="1" applyFont="1" applyBorder="1" applyAlignment="1" applyProtection="1">
      <alignment horizontal="left" vertical="center" wrapText="1"/>
    </xf>
    <xf numFmtId="0" fontId="39" fillId="0" borderId="13" xfId="522" applyFont="1" applyBorder="1" applyAlignment="1">
      <alignment horizontal="center" vertical="center"/>
    </xf>
    <xf numFmtId="0" fontId="39" fillId="0" borderId="11" xfId="522" applyFont="1" applyBorder="1" applyAlignment="1">
      <alignment horizontal="center" vertical="center"/>
    </xf>
    <xf numFmtId="0" fontId="38" fillId="0" borderId="41" xfId="523" applyFont="1" applyBorder="1" applyAlignment="1">
      <alignment horizontal="center" vertical="center" wrapText="1"/>
    </xf>
    <xf numFmtId="0" fontId="38" fillId="0" borderId="21" xfId="523" applyFont="1" applyBorder="1" applyAlignment="1">
      <alignment horizontal="center" vertical="center" wrapText="1"/>
    </xf>
    <xf numFmtId="0" fontId="38" fillId="0" borderId="13" xfId="523" applyFont="1" applyBorder="1" applyAlignment="1">
      <alignment horizontal="center" vertical="center" wrapText="1"/>
    </xf>
    <xf numFmtId="0" fontId="38" fillId="0" borderId="11" xfId="523" applyFont="1" applyBorder="1" applyAlignment="1">
      <alignment horizontal="center" vertical="center" wrapText="1"/>
    </xf>
    <xf numFmtId="0" fontId="38" fillId="0" borderId="13" xfId="523" applyFont="1" applyBorder="1" applyAlignment="1">
      <alignment horizontal="center" vertical="center"/>
    </xf>
    <xf numFmtId="0" fontId="38" fillId="0" borderId="11" xfId="523" applyFont="1" applyBorder="1" applyAlignment="1">
      <alignment horizontal="center" vertical="center"/>
    </xf>
    <xf numFmtId="0" fontId="38" fillId="0" borderId="68" xfId="523" applyFont="1" applyBorder="1" applyAlignment="1" applyProtection="1">
      <alignment horizontal="center" vertical="center"/>
    </xf>
    <xf numFmtId="0" fontId="38" fillId="0" borderId="69" xfId="523" applyFont="1" applyBorder="1" applyAlignment="1" applyProtection="1">
      <alignment horizontal="center" vertical="center"/>
    </xf>
    <xf numFmtId="0" fontId="38" fillId="0" borderId="20" xfId="523" applyFont="1" applyBorder="1" applyAlignment="1" applyProtection="1">
      <alignment horizontal="center" vertical="center"/>
    </xf>
    <xf numFmtId="0" fontId="38" fillId="0" borderId="10" xfId="523" applyFont="1" applyBorder="1" applyAlignment="1" applyProtection="1">
      <alignment horizontal="center" vertical="center"/>
    </xf>
    <xf numFmtId="0" fontId="38" fillId="0" borderId="53" xfId="523" applyFont="1" applyBorder="1" applyAlignment="1" applyProtection="1">
      <alignment horizontal="left" vertical="center"/>
    </xf>
    <xf numFmtId="0" fontId="38" fillId="0" borderId="0" xfId="523" applyFont="1" applyBorder="1" applyAlignment="1" applyProtection="1">
      <alignment horizontal="left" vertical="center"/>
    </xf>
    <xf numFmtId="0" fontId="38" fillId="0" borderId="70" xfId="523" applyFont="1" applyBorder="1" applyAlignment="1" applyProtection="1">
      <alignment horizontal="left" vertical="center"/>
    </xf>
    <xf numFmtId="0" fontId="47" fillId="0" borderId="19" xfId="523" applyFont="1" applyBorder="1" applyAlignment="1" applyProtection="1">
      <alignment horizontal="center" vertical="center"/>
    </xf>
    <xf numFmtId="0" fontId="47" fillId="0" borderId="0" xfId="523" applyFont="1" applyBorder="1" applyAlignment="1" applyProtection="1">
      <alignment horizontal="center" vertical="center"/>
    </xf>
    <xf numFmtId="0" fontId="47" fillId="0" borderId="70" xfId="523" applyFont="1" applyBorder="1" applyAlignment="1" applyProtection="1">
      <alignment horizontal="center" vertical="center"/>
    </xf>
    <xf numFmtId="0" fontId="38" fillId="0" borderId="71" xfId="523" applyFont="1" applyBorder="1" applyAlignment="1" applyProtection="1">
      <alignment horizontal="center" vertical="center"/>
    </xf>
    <xf numFmtId="0" fontId="38" fillId="0" borderId="7" xfId="523" applyFont="1" applyBorder="1" applyAlignment="1" applyProtection="1">
      <alignment horizontal="center" vertical="center"/>
    </xf>
    <xf numFmtId="0" fontId="44" fillId="0" borderId="13" xfId="523" applyFont="1" applyBorder="1" applyAlignment="1">
      <alignment horizontal="center" vertical="center" wrapText="1"/>
    </xf>
    <xf numFmtId="0" fontId="44" fillId="0" borderId="29" xfId="523" applyFont="1" applyBorder="1" applyAlignment="1">
      <alignment horizontal="center" vertical="center"/>
    </xf>
    <xf numFmtId="0" fontId="44" fillId="0" borderId="11" xfId="523" applyFont="1" applyBorder="1" applyAlignment="1">
      <alignment horizontal="center" vertical="center"/>
    </xf>
    <xf numFmtId="0" fontId="38" fillId="0" borderId="72" xfId="523" applyFont="1" applyBorder="1" applyAlignment="1">
      <alignment horizontal="left" vertical="center"/>
    </xf>
    <xf numFmtId="0" fontId="38" fillId="0" borderId="73" xfId="523" applyFont="1" applyBorder="1" applyAlignment="1">
      <alignment horizontal="left" vertical="center"/>
    </xf>
    <xf numFmtId="0" fontId="38" fillId="0" borderId="74" xfId="523" applyFont="1" applyBorder="1" applyAlignment="1">
      <alignment horizontal="left" vertical="center"/>
    </xf>
    <xf numFmtId="0" fontId="38" fillId="0" borderId="12" xfId="523" applyFont="1" applyBorder="1" applyAlignment="1">
      <alignment horizontal="left" vertical="center"/>
    </xf>
    <xf numFmtId="0" fontId="38" fillId="0" borderId="55" xfId="523" applyFont="1" applyBorder="1" applyAlignment="1">
      <alignment horizontal="center" vertical="center"/>
    </xf>
    <xf numFmtId="0" fontId="38" fillId="0" borderId="71" xfId="523" applyFont="1" applyBorder="1" applyAlignment="1">
      <alignment horizontal="center" vertical="center"/>
    </xf>
    <xf numFmtId="0" fontId="38" fillId="0" borderId="0" xfId="523" applyFont="1" applyBorder="1" applyAlignment="1">
      <alignment horizontal="center" vertical="center"/>
    </xf>
    <xf numFmtId="0" fontId="38" fillId="0" borderId="70" xfId="523" applyFont="1" applyBorder="1" applyAlignment="1">
      <alignment horizontal="center" vertical="center"/>
    </xf>
    <xf numFmtId="193" fontId="38" fillId="0" borderId="19" xfId="523" applyNumberFormat="1" applyFont="1" applyBorder="1" applyAlignment="1">
      <alignment horizontal="center" vertical="center"/>
    </xf>
    <xf numFmtId="193" fontId="38" fillId="0" borderId="0" xfId="523" applyNumberFormat="1" applyFont="1" applyBorder="1" applyAlignment="1">
      <alignment horizontal="center" vertical="center"/>
    </xf>
    <xf numFmtId="0" fontId="38" fillId="0" borderId="7" xfId="523" applyFont="1" applyBorder="1" applyAlignment="1">
      <alignment horizontal="center" vertical="center"/>
    </xf>
    <xf numFmtId="0" fontId="38" fillId="0" borderId="68" xfId="523" applyFont="1" applyBorder="1" applyAlignment="1">
      <alignment horizontal="center" vertical="center"/>
    </xf>
    <xf numFmtId="0" fontId="38" fillId="0" borderId="69" xfId="523" applyFont="1" applyBorder="1" applyAlignment="1">
      <alignment horizontal="center" vertical="center"/>
    </xf>
    <xf numFmtId="193" fontId="38" fillId="0" borderId="10" xfId="523" applyNumberFormat="1" applyFont="1" applyBorder="1" applyAlignment="1">
      <alignment horizontal="center" vertical="center"/>
    </xf>
    <xf numFmtId="193" fontId="38" fillId="0" borderId="69" xfId="523" applyNumberFormat="1" applyFont="1" applyBorder="1" applyAlignment="1">
      <alignment horizontal="center" vertical="center"/>
    </xf>
    <xf numFmtId="193" fontId="38" fillId="0" borderId="12" xfId="523" applyNumberFormat="1" applyFont="1" applyBorder="1" applyAlignment="1">
      <alignment horizontal="left" vertical="center"/>
    </xf>
    <xf numFmtId="193" fontId="38" fillId="0" borderId="73" xfId="523" applyNumberFormat="1" applyFont="1" applyBorder="1" applyAlignment="1">
      <alignment horizontal="left" vertical="center"/>
    </xf>
    <xf numFmtId="193" fontId="38" fillId="0" borderId="74" xfId="523" applyNumberFormat="1" applyFont="1" applyBorder="1" applyAlignment="1">
      <alignment horizontal="left" vertical="center"/>
    </xf>
    <xf numFmtId="0" fontId="38" fillId="0" borderId="75" xfId="523" applyFont="1" applyBorder="1" applyAlignment="1">
      <alignment horizontal="left" vertical="center"/>
    </xf>
    <xf numFmtId="0" fontId="38" fillId="0" borderId="76" xfId="523" applyFont="1" applyBorder="1" applyAlignment="1">
      <alignment horizontal="left" vertical="center"/>
    </xf>
    <xf numFmtId="0" fontId="38" fillId="0" borderId="77" xfId="523" applyFont="1" applyBorder="1" applyAlignment="1">
      <alignment horizontal="left" vertical="center"/>
    </xf>
    <xf numFmtId="0" fontId="38" fillId="0" borderId="78" xfId="523" applyFont="1" applyBorder="1" applyAlignment="1">
      <alignment horizontal="left" vertical="center" shrinkToFit="1"/>
    </xf>
    <xf numFmtId="0" fontId="38" fillId="0" borderId="79" xfId="523" applyFont="1" applyBorder="1" applyAlignment="1">
      <alignment horizontal="left" vertical="center" shrinkToFit="1"/>
    </xf>
    <xf numFmtId="0" fontId="38" fillId="0" borderId="82" xfId="523" applyFont="1" applyBorder="1" applyAlignment="1">
      <alignment horizontal="left" vertical="center"/>
    </xf>
    <xf numFmtId="0" fontId="38" fillId="0" borderId="79" xfId="523" applyFont="1" applyBorder="1" applyAlignment="1">
      <alignment horizontal="left" vertical="center"/>
    </xf>
    <xf numFmtId="0" fontId="38" fillId="0" borderId="80" xfId="523" applyFont="1" applyBorder="1" applyAlignment="1">
      <alignment horizontal="left" vertical="center"/>
    </xf>
    <xf numFmtId="193" fontId="38" fillId="0" borderId="78" xfId="523" applyNumberFormat="1" applyFont="1" applyBorder="1" applyAlignment="1">
      <alignment horizontal="left" vertical="center" shrinkToFit="1"/>
    </xf>
    <xf numFmtId="193" fontId="38" fillId="0" borderId="79" xfId="523" applyNumberFormat="1" applyFont="1" applyBorder="1" applyAlignment="1">
      <alignment horizontal="left" vertical="center" shrinkToFit="1"/>
    </xf>
    <xf numFmtId="0" fontId="38" fillId="0" borderId="78" xfId="523" applyFont="1" applyBorder="1" applyAlignment="1">
      <alignment horizontal="left" vertical="center" wrapText="1"/>
    </xf>
    <xf numFmtId="0" fontId="39" fillId="0" borderId="79" xfId="523" applyFont="1" applyBorder="1"/>
    <xf numFmtId="0" fontId="39" fillId="0" borderId="80" xfId="523" applyFont="1" applyBorder="1"/>
    <xf numFmtId="0" fontId="38" fillId="0" borderId="86" xfId="523" applyFont="1" applyBorder="1" applyAlignment="1">
      <alignment horizontal="left" vertical="center"/>
    </xf>
    <xf numFmtId="0" fontId="38" fillId="0" borderId="83" xfId="523" applyFont="1" applyBorder="1" applyAlignment="1">
      <alignment horizontal="left" vertical="center"/>
    </xf>
    <xf numFmtId="0" fontId="38" fillId="0" borderId="84" xfId="523" applyFont="1" applyBorder="1" applyAlignment="1">
      <alignment horizontal="left" vertical="center"/>
    </xf>
    <xf numFmtId="0" fontId="38" fillId="0" borderId="87" xfId="523" applyFont="1" applyBorder="1" applyAlignment="1">
      <alignment horizontal="left" vertical="center"/>
    </xf>
    <xf numFmtId="0" fontId="38" fillId="0" borderId="10" xfId="523" applyFont="1" applyBorder="1" applyAlignment="1">
      <alignment horizontal="left" vertical="center" wrapText="1"/>
    </xf>
    <xf numFmtId="0" fontId="38" fillId="0" borderId="69" xfId="523" applyFont="1" applyBorder="1" applyAlignment="1">
      <alignment horizontal="left" vertical="center" wrapText="1"/>
    </xf>
    <xf numFmtId="0" fontId="38" fillId="0" borderId="20" xfId="523" applyFont="1" applyBorder="1" applyAlignment="1">
      <alignment horizontal="left" vertical="center" wrapText="1"/>
    </xf>
    <xf numFmtId="0" fontId="38" fillId="0" borderId="90" xfId="523" applyFont="1" applyBorder="1" applyAlignment="1" applyProtection="1">
      <alignment horizontal="left" vertical="center"/>
    </xf>
    <xf numFmtId="0" fontId="38" fillId="0" borderId="15" xfId="523" applyFont="1" applyBorder="1" applyAlignment="1" applyProtection="1">
      <alignment horizontal="left" vertical="center"/>
    </xf>
    <xf numFmtId="0" fontId="38" fillId="0" borderId="16" xfId="523" applyFont="1" applyBorder="1" applyAlignment="1" applyProtection="1">
      <alignment horizontal="left" vertical="center"/>
    </xf>
    <xf numFmtId="0" fontId="38" fillId="0" borderId="91" xfId="523" applyFont="1" applyBorder="1" applyAlignment="1" applyProtection="1">
      <alignment horizontal="center" vertical="center"/>
    </xf>
    <xf numFmtId="0" fontId="38" fillId="0" borderId="15" xfId="523" applyFont="1" applyBorder="1" applyAlignment="1" applyProtection="1">
      <alignment horizontal="center" vertical="center"/>
    </xf>
    <xf numFmtId="0" fontId="38" fillId="0" borderId="16" xfId="523" applyFont="1" applyBorder="1" applyAlignment="1" applyProtection="1">
      <alignment horizontal="center" vertical="center"/>
    </xf>
    <xf numFmtId="0" fontId="38" fillId="0" borderId="48" xfId="523" applyFont="1" applyBorder="1" applyAlignment="1">
      <alignment horizontal="left" vertical="center"/>
    </xf>
    <xf numFmtId="0" fontId="38" fillId="0" borderId="89" xfId="523" applyFont="1" applyBorder="1" applyAlignment="1" applyProtection="1">
      <alignment horizontal="left" vertical="center"/>
    </xf>
    <xf numFmtId="0" fontId="38" fillId="0" borderId="29" xfId="523" applyFont="1" applyBorder="1" applyAlignment="1" applyProtection="1">
      <alignment horizontal="left" vertical="center"/>
    </xf>
    <xf numFmtId="0" fontId="38" fillId="0" borderId="11" xfId="523" applyFont="1" applyBorder="1" applyAlignment="1" applyProtection="1">
      <alignment horizontal="left" vertical="center"/>
    </xf>
    <xf numFmtId="0" fontId="38" fillId="0" borderId="13" xfId="523" applyFont="1" applyBorder="1" applyAlignment="1" applyProtection="1">
      <alignment horizontal="left" vertical="center"/>
    </xf>
    <xf numFmtId="9" fontId="38" fillId="0" borderId="13" xfId="523" applyNumberFormat="1" applyFont="1" applyBorder="1" applyAlignment="1" applyProtection="1">
      <alignment horizontal="center" vertical="center"/>
    </xf>
    <xf numFmtId="9" fontId="38" fillId="0" borderId="29" xfId="523" applyNumberFormat="1" applyFont="1" applyBorder="1" applyAlignment="1" applyProtection="1">
      <alignment horizontal="center" vertical="center"/>
    </xf>
    <xf numFmtId="9" fontId="38" fillId="0" borderId="11" xfId="523" applyNumberFormat="1" applyFont="1" applyBorder="1" applyAlignment="1" applyProtection="1">
      <alignment horizontal="center" vertical="center"/>
    </xf>
    <xf numFmtId="0" fontId="57" fillId="31" borderId="29" xfId="0" applyFont="1" applyFill="1" applyBorder="1" applyAlignment="1">
      <alignment horizontal="center" vertical="center"/>
    </xf>
    <xf numFmtId="0" fontId="57" fillId="31" borderId="11" xfId="0" applyFont="1" applyFill="1" applyBorder="1" applyAlignment="1">
      <alignment horizontal="center" vertical="center"/>
    </xf>
    <xf numFmtId="0" fontId="83" fillId="35" borderId="108" xfId="567" applyFont="1" applyFill="1" applyBorder="1" applyAlignment="1">
      <alignment horizontal="center" vertical="center"/>
    </xf>
    <xf numFmtId="0" fontId="83" fillId="35" borderId="29" xfId="567" applyFont="1" applyFill="1" applyBorder="1" applyAlignment="1">
      <alignment horizontal="center" vertical="center"/>
    </xf>
    <xf numFmtId="0" fontId="83" fillId="35" borderId="109" xfId="567" applyFont="1" applyFill="1" applyBorder="1" applyAlignment="1">
      <alignment horizontal="center" vertical="center"/>
    </xf>
    <xf numFmtId="0" fontId="83" fillId="35" borderId="11" xfId="567" applyFont="1" applyFill="1" applyBorder="1" applyAlignment="1">
      <alignment horizontal="center" vertical="center"/>
    </xf>
    <xf numFmtId="0" fontId="83" fillId="35" borderId="13" xfId="567" applyFont="1" applyFill="1" applyBorder="1" applyAlignment="1">
      <alignment horizontal="center" vertical="center"/>
    </xf>
    <xf numFmtId="0" fontId="94" fillId="35" borderId="133" xfId="567" applyFont="1" applyFill="1" applyBorder="1" applyAlignment="1">
      <alignment horizontal="center" vertical="center"/>
    </xf>
    <xf numFmtId="0" fontId="86" fillId="0" borderId="71" xfId="567" applyFont="1" applyFill="1" applyBorder="1" applyAlignment="1">
      <alignment horizontal="center" vertical="center" wrapText="1"/>
    </xf>
    <xf numFmtId="0" fontId="88" fillId="0" borderId="95" xfId="567" applyFont="1" applyFill="1" applyBorder="1" applyAlignment="1">
      <alignment horizontal="center" vertical="center"/>
    </xf>
    <xf numFmtId="0" fontId="81" fillId="0" borderId="95" xfId="568" applyFont="1" applyBorder="1" applyAlignment="1">
      <alignment horizontal="left" vertical="center"/>
    </xf>
    <xf numFmtId="0" fontId="83" fillId="35" borderId="110" xfId="567" applyFont="1" applyFill="1" applyBorder="1" applyAlignment="1">
      <alignment horizontal="center" vertical="center"/>
    </xf>
    <xf numFmtId="0" fontId="83" fillId="35" borderId="71" xfId="567" applyFont="1" applyFill="1" applyBorder="1" applyAlignment="1">
      <alignment horizontal="center" vertical="center"/>
    </xf>
    <xf numFmtId="0" fontId="83" fillId="35" borderId="134" xfId="567" applyFont="1" applyFill="1" applyBorder="1" applyAlignment="1">
      <alignment horizontal="center" vertical="center"/>
    </xf>
    <xf numFmtId="0" fontId="83" fillId="0" borderId="4" xfId="567" applyFont="1" applyFill="1" applyBorder="1" applyAlignment="1">
      <alignment horizontal="center" vertical="center"/>
    </xf>
    <xf numFmtId="0" fontId="94" fillId="35" borderId="135" xfId="567" applyFont="1" applyFill="1" applyBorder="1" applyAlignment="1">
      <alignment horizontal="center" vertical="center"/>
    </xf>
    <xf numFmtId="0" fontId="94" fillId="35" borderId="112" xfId="567" applyFont="1" applyFill="1" applyBorder="1" applyAlignment="1">
      <alignment horizontal="center" vertical="center"/>
    </xf>
    <xf numFmtId="0" fontId="94" fillId="35" borderId="32" xfId="567" applyFont="1" applyFill="1" applyBorder="1" applyAlignment="1">
      <alignment horizontal="center" vertical="center"/>
    </xf>
    <xf numFmtId="0" fontId="94" fillId="35" borderId="113" xfId="567" applyFont="1" applyFill="1" applyBorder="1" applyAlignment="1">
      <alignment horizontal="center" vertical="center"/>
    </xf>
    <xf numFmtId="0" fontId="94" fillId="35" borderId="114" xfId="567" applyFont="1" applyFill="1" applyBorder="1" applyAlignment="1">
      <alignment horizontal="center" vertical="center"/>
    </xf>
    <xf numFmtId="0" fontId="94" fillId="35" borderId="136" xfId="567" applyFont="1" applyFill="1" applyBorder="1" applyAlignment="1">
      <alignment horizontal="center" vertical="center"/>
    </xf>
    <xf numFmtId="0" fontId="86" fillId="0" borderId="55" xfId="567" applyFont="1" applyFill="1" applyBorder="1" applyAlignment="1">
      <alignment horizontal="center" vertical="center" wrapText="1"/>
    </xf>
    <xf numFmtId="0" fontId="83" fillId="0" borderId="41" xfId="567" applyFont="1" applyFill="1" applyBorder="1" applyAlignment="1">
      <alignment horizontal="center" vertical="center"/>
    </xf>
    <xf numFmtId="0" fontId="83" fillId="0" borderId="25" xfId="567" applyFont="1" applyFill="1" applyBorder="1" applyAlignment="1">
      <alignment horizontal="center" vertical="center"/>
    </xf>
    <xf numFmtId="0" fontId="86" fillId="0" borderId="27" xfId="567" applyFont="1" applyFill="1" applyBorder="1" applyAlignment="1">
      <alignment horizontal="center" vertical="center" wrapText="1"/>
    </xf>
    <xf numFmtId="0" fontId="83" fillId="35" borderId="99" xfId="567" applyFont="1" applyFill="1" applyBorder="1" applyAlignment="1">
      <alignment horizontal="center" vertical="center"/>
    </xf>
    <xf numFmtId="0" fontId="83" fillId="35" borderId="97" xfId="567" applyFont="1" applyFill="1" applyBorder="1" applyAlignment="1">
      <alignment horizontal="center" vertical="center"/>
    </xf>
    <xf numFmtId="0" fontId="83" fillId="35" borderId="98" xfId="567" applyFont="1" applyFill="1" applyBorder="1" applyAlignment="1">
      <alignment horizontal="center" vertical="center"/>
    </xf>
    <xf numFmtId="198" fontId="59" fillId="28" borderId="8" xfId="1" applyNumberFormat="1" applyFont="1" applyFill="1" applyBorder="1" applyAlignment="1">
      <alignment horizontal="center" vertical="center"/>
    </xf>
    <xf numFmtId="198" fontId="59" fillId="28" borderId="13" xfId="1" applyNumberFormat="1" applyFont="1" applyFill="1" applyBorder="1" applyAlignment="1">
      <alignment horizontal="center" vertical="center"/>
    </xf>
    <xf numFmtId="198" fontId="59" fillId="29" borderId="8" xfId="1" applyNumberFormat="1" applyFont="1" applyFill="1" applyBorder="1" applyAlignment="1">
      <alignment horizontal="center" vertical="center"/>
    </xf>
    <xf numFmtId="198" fontId="59" fillId="28" borderId="11" xfId="1" applyNumberFormat="1" applyFont="1" applyFill="1" applyBorder="1" applyAlignment="1">
      <alignment horizontal="center" vertical="center"/>
    </xf>
    <xf numFmtId="0" fontId="59" fillId="37" borderId="89" xfId="0" applyFont="1" applyFill="1" applyBorder="1" applyAlignment="1">
      <alignment horizontal="center" vertical="center" shrinkToFit="1"/>
    </xf>
    <xf numFmtId="0" fontId="59" fillId="37" borderId="29" xfId="0" applyFont="1" applyFill="1" applyBorder="1" applyAlignment="1">
      <alignment horizontal="center" vertical="center" shrinkToFit="1"/>
    </xf>
    <xf numFmtId="0" fontId="59" fillId="33" borderId="89" xfId="0" applyFont="1" applyFill="1" applyBorder="1" applyAlignment="1">
      <alignment horizontal="center" vertical="center" shrinkToFit="1"/>
    </xf>
    <xf numFmtId="0" fontId="59" fillId="33" borderId="29" xfId="0" applyFont="1" applyFill="1" applyBorder="1" applyAlignment="1">
      <alignment horizontal="center" vertical="center" shrinkToFit="1"/>
    </xf>
    <xf numFmtId="198" fontId="59" fillId="28" borderId="42" xfId="1" applyNumberFormat="1" applyFont="1" applyFill="1" applyBorder="1" applyAlignment="1">
      <alignment horizontal="center" vertical="center"/>
    </xf>
    <xf numFmtId="198" fontId="59" fillId="28" borderId="5" xfId="1" applyNumberFormat="1" applyFont="1" applyFill="1" applyBorder="1" applyAlignment="1">
      <alignment horizontal="center" vertical="center"/>
    </xf>
    <xf numFmtId="198" fontId="59" fillId="28" borderId="6" xfId="1" applyNumberFormat="1" applyFont="1" applyFill="1" applyBorder="1" applyAlignment="1">
      <alignment horizontal="center" vertical="center"/>
    </xf>
    <xf numFmtId="0" fontId="59" fillId="33" borderId="14" xfId="0" applyFont="1" applyFill="1" applyBorder="1" applyAlignment="1">
      <alignment horizontal="center" vertical="center" shrinkToFit="1"/>
    </xf>
    <xf numFmtId="0" fontId="59" fillId="33" borderId="31" xfId="0" applyFont="1" applyFill="1" applyBorder="1" applyAlignment="1">
      <alignment horizontal="center" vertical="center" shrinkToFit="1"/>
    </xf>
    <xf numFmtId="0" fontId="59" fillId="33" borderId="123" xfId="0" applyFont="1" applyFill="1" applyBorder="1" applyAlignment="1">
      <alignment horizontal="center" vertical="center" shrinkToFit="1"/>
    </xf>
    <xf numFmtId="0" fontId="59" fillId="33" borderId="124" xfId="0" applyFont="1" applyFill="1" applyBorder="1" applyAlignment="1">
      <alignment horizontal="center" vertical="center" shrinkToFit="1"/>
    </xf>
    <xf numFmtId="0" fontId="59" fillId="33" borderId="72" xfId="0" applyFont="1" applyFill="1" applyBorder="1" applyAlignment="1">
      <alignment horizontal="center" vertical="center" shrinkToFit="1"/>
    </xf>
    <xf numFmtId="0" fontId="59" fillId="33" borderId="73" xfId="0" applyFont="1" applyFill="1" applyBorder="1" applyAlignment="1">
      <alignment horizontal="center" vertical="center" shrinkToFit="1"/>
    </xf>
    <xf numFmtId="0" fontId="59" fillId="37" borderId="68" xfId="0" applyFont="1" applyFill="1" applyBorder="1" applyAlignment="1">
      <alignment horizontal="center" vertical="center" shrinkToFit="1"/>
    </xf>
    <xf numFmtId="0" fontId="59" fillId="37" borderId="69" xfId="0" applyFont="1" applyFill="1" applyBorder="1" applyAlignment="1">
      <alignment horizontal="center" vertical="center" shrinkToFit="1"/>
    </xf>
    <xf numFmtId="0" fontId="55" fillId="0" borderId="31" xfId="0" applyFont="1" applyBorder="1" applyAlignment="1">
      <alignment horizontal="left" vertical="center"/>
    </xf>
  </cellXfs>
  <cellStyles count="569">
    <cellStyle name="??&amp;O?&amp;H?_x0008__x000f__x0007_?_x0007__x0001__x0001_" xfId="3"/>
    <cellStyle name="??&amp;O?&amp;H?_x0008_??_x0007__x0001__x0001_" xfId="4"/>
    <cellStyle name="¤@?e_TEST-1 " xfId="529"/>
    <cellStyle name="20% - 강조색1 2" xfId="5"/>
    <cellStyle name="20% - 강조색1 3" xfId="6"/>
    <cellStyle name="20% - 강조색1 4" xfId="7"/>
    <cellStyle name="20% - 강조색1 5" xfId="8"/>
    <cellStyle name="20% - 강조색1 6" xfId="9"/>
    <cellStyle name="20% - 강조색1 7" xfId="10"/>
    <cellStyle name="20% - 강조색1 8" xfId="11"/>
    <cellStyle name="20% - 강조색1 8 2" xfId="12"/>
    <cellStyle name="20% - 강조색1 8_이천설봉2차전기공정표(미반영)" xfId="13"/>
    <cellStyle name="20% - 강조색1 9" xfId="14"/>
    <cellStyle name="20% - 강조색1 9 2" xfId="15"/>
    <cellStyle name="20% - 강조색1 9_이천설봉2차전기공정표(미반영)" xfId="16"/>
    <cellStyle name="20% - 강조색2 2" xfId="17"/>
    <cellStyle name="20% - 강조색2 3" xfId="18"/>
    <cellStyle name="20% - 강조색2 4" xfId="19"/>
    <cellStyle name="20% - 강조색2 5" xfId="20"/>
    <cellStyle name="20% - 강조색2 6" xfId="21"/>
    <cellStyle name="20% - 강조색2 7" xfId="22"/>
    <cellStyle name="20% - 강조색2 8" xfId="23"/>
    <cellStyle name="20% - 강조색2 8 2" xfId="24"/>
    <cellStyle name="20% - 강조색2 8_이천설봉2차전기공정표(미반영)" xfId="25"/>
    <cellStyle name="20% - 강조색2 9" xfId="26"/>
    <cellStyle name="20% - 강조색2 9 2" xfId="27"/>
    <cellStyle name="20% - 강조색2 9_이천설봉2차전기공정표(미반영)" xfId="28"/>
    <cellStyle name="20% - 강조색3 2" xfId="29"/>
    <cellStyle name="20% - 강조색3 3" xfId="30"/>
    <cellStyle name="20% - 강조색3 4" xfId="31"/>
    <cellStyle name="20% - 강조색3 5" xfId="32"/>
    <cellStyle name="20% - 강조색3 6" xfId="33"/>
    <cellStyle name="20% - 강조색3 7" xfId="34"/>
    <cellStyle name="20% - 강조색3 8" xfId="35"/>
    <cellStyle name="20% - 강조색3 8 2" xfId="36"/>
    <cellStyle name="20% - 강조색3 8_이천설봉2차전기공정표(미반영)" xfId="37"/>
    <cellStyle name="20% - 강조색3 9" xfId="38"/>
    <cellStyle name="20% - 강조색3 9 2" xfId="39"/>
    <cellStyle name="20% - 강조색3 9_이천설봉2차전기공정표(미반영)" xfId="40"/>
    <cellStyle name="20% - 강조색4 2" xfId="41"/>
    <cellStyle name="20% - 강조색4 3" xfId="42"/>
    <cellStyle name="20% - 강조색4 4" xfId="43"/>
    <cellStyle name="20% - 강조색4 5" xfId="44"/>
    <cellStyle name="20% - 강조색4 6" xfId="45"/>
    <cellStyle name="20% - 강조색4 7" xfId="46"/>
    <cellStyle name="20% - 강조색4 8" xfId="47"/>
    <cellStyle name="20% - 강조색4 8 2" xfId="48"/>
    <cellStyle name="20% - 강조색4 8_이천설봉2차전기공정표(미반영)" xfId="49"/>
    <cellStyle name="20% - 강조색4 9" xfId="50"/>
    <cellStyle name="20% - 강조색4 9 2" xfId="51"/>
    <cellStyle name="20% - 강조색4 9_이천설봉2차전기공정표(미반영)" xfId="52"/>
    <cellStyle name="20% - 강조색5 2" xfId="53"/>
    <cellStyle name="20% - 강조색5 3" xfId="54"/>
    <cellStyle name="20% - 강조색5 4" xfId="55"/>
    <cellStyle name="20% - 강조색5 5" xfId="56"/>
    <cellStyle name="20% - 강조색5 6" xfId="57"/>
    <cellStyle name="20% - 강조색5 7" xfId="58"/>
    <cellStyle name="20% - 강조색5 8" xfId="59"/>
    <cellStyle name="20% - 강조색5 8 2" xfId="60"/>
    <cellStyle name="20% - 강조색5 8_이천설봉2차전기공정표(미반영)" xfId="61"/>
    <cellStyle name="20% - 강조색5 9" xfId="62"/>
    <cellStyle name="20% - 강조색5 9 2" xfId="63"/>
    <cellStyle name="20% - 강조색5 9_이천설봉2차전기공정표(미반영)" xfId="64"/>
    <cellStyle name="20% - 강조색6 2" xfId="65"/>
    <cellStyle name="20% - 강조색6 3" xfId="66"/>
    <cellStyle name="20% - 강조색6 4" xfId="67"/>
    <cellStyle name="20% - 강조색6 5" xfId="68"/>
    <cellStyle name="20% - 강조색6 6" xfId="69"/>
    <cellStyle name="20% - 강조색6 7" xfId="70"/>
    <cellStyle name="20% - 강조색6 8" xfId="71"/>
    <cellStyle name="20% - 강조색6 8 2" xfId="72"/>
    <cellStyle name="20% - 강조색6 8_이천설봉2차전기공정표(미반영)" xfId="73"/>
    <cellStyle name="20% - 강조색6 9" xfId="74"/>
    <cellStyle name="20% - 강조색6 9 2" xfId="75"/>
    <cellStyle name="20% - 강조색6 9_이천설봉2차전기공정표(미반영)" xfId="76"/>
    <cellStyle name="40% - 강조색1 2" xfId="77"/>
    <cellStyle name="40% - 강조색1 3" xfId="78"/>
    <cellStyle name="40% - 강조색1 4" xfId="79"/>
    <cellStyle name="40% - 강조색1 5" xfId="80"/>
    <cellStyle name="40% - 강조색1 6" xfId="81"/>
    <cellStyle name="40% - 강조색1 7" xfId="82"/>
    <cellStyle name="40% - 강조색1 8" xfId="83"/>
    <cellStyle name="40% - 강조색1 8 2" xfId="84"/>
    <cellStyle name="40% - 강조색1 8_이천설봉2차전기공정표(미반영)" xfId="85"/>
    <cellStyle name="40% - 강조색1 9" xfId="86"/>
    <cellStyle name="40% - 강조색1 9 2" xfId="87"/>
    <cellStyle name="40% - 강조색1 9_이천설봉2차전기공정표(미반영)" xfId="88"/>
    <cellStyle name="40% - 강조색2 2" xfId="89"/>
    <cellStyle name="40% - 강조색2 3" xfId="90"/>
    <cellStyle name="40% - 강조색2 4" xfId="91"/>
    <cellStyle name="40% - 강조색2 5" xfId="92"/>
    <cellStyle name="40% - 강조색2 6" xfId="93"/>
    <cellStyle name="40% - 강조색2 7" xfId="94"/>
    <cellStyle name="40% - 강조색2 8" xfId="95"/>
    <cellStyle name="40% - 강조색2 8 2" xfId="96"/>
    <cellStyle name="40% - 강조색2 8_이천설봉2차전기공정표(미반영)" xfId="97"/>
    <cellStyle name="40% - 강조색2 9" xfId="98"/>
    <cellStyle name="40% - 강조색2 9 2" xfId="99"/>
    <cellStyle name="40% - 강조색2 9_이천설봉2차전기공정표(미반영)" xfId="100"/>
    <cellStyle name="40% - 강조색3 2" xfId="101"/>
    <cellStyle name="40% - 강조색3 3" xfId="102"/>
    <cellStyle name="40% - 강조색3 4" xfId="103"/>
    <cellStyle name="40% - 강조색3 5" xfId="104"/>
    <cellStyle name="40% - 강조색3 6" xfId="105"/>
    <cellStyle name="40% - 강조색3 7" xfId="106"/>
    <cellStyle name="40% - 강조색3 8" xfId="107"/>
    <cellStyle name="40% - 강조색3 8 2" xfId="108"/>
    <cellStyle name="40% - 강조색3 8_이천설봉2차전기공정표(미반영)" xfId="109"/>
    <cellStyle name="40% - 강조색3 9" xfId="110"/>
    <cellStyle name="40% - 강조색3 9 2" xfId="111"/>
    <cellStyle name="40% - 강조색3 9_이천설봉2차전기공정표(미반영)" xfId="112"/>
    <cellStyle name="40% - 강조색4 2" xfId="113"/>
    <cellStyle name="40% - 강조색4 3" xfId="114"/>
    <cellStyle name="40% - 강조색4 4" xfId="115"/>
    <cellStyle name="40% - 강조색4 5" xfId="116"/>
    <cellStyle name="40% - 강조색4 6" xfId="117"/>
    <cellStyle name="40% - 강조색4 7" xfId="118"/>
    <cellStyle name="40% - 강조색4 8" xfId="119"/>
    <cellStyle name="40% - 강조색4 8 2" xfId="120"/>
    <cellStyle name="40% - 강조색4 8_이천설봉2차전기공정표(미반영)" xfId="121"/>
    <cellStyle name="40% - 강조색4 9" xfId="122"/>
    <cellStyle name="40% - 강조색4 9 2" xfId="123"/>
    <cellStyle name="40% - 강조색4 9_이천설봉2차전기공정표(미반영)" xfId="124"/>
    <cellStyle name="40% - 강조색5 2" xfId="125"/>
    <cellStyle name="40% - 강조색5 3" xfId="126"/>
    <cellStyle name="40% - 강조색5 4" xfId="127"/>
    <cellStyle name="40% - 강조색5 5" xfId="128"/>
    <cellStyle name="40% - 강조색5 6" xfId="129"/>
    <cellStyle name="40% - 강조색5 7" xfId="130"/>
    <cellStyle name="40% - 강조색5 8" xfId="131"/>
    <cellStyle name="40% - 강조색5 8 2" xfId="132"/>
    <cellStyle name="40% - 강조색5 8_이천설봉2차전기공정표(미반영)" xfId="133"/>
    <cellStyle name="40% - 강조색5 9" xfId="134"/>
    <cellStyle name="40% - 강조색5 9 2" xfId="135"/>
    <cellStyle name="40% - 강조색5 9_이천설봉2차전기공정표(미반영)" xfId="136"/>
    <cellStyle name="40% - 강조색6 2" xfId="137"/>
    <cellStyle name="40% - 강조색6 3" xfId="138"/>
    <cellStyle name="40% - 강조색6 4" xfId="139"/>
    <cellStyle name="40% - 강조색6 5" xfId="140"/>
    <cellStyle name="40% - 강조색6 6" xfId="141"/>
    <cellStyle name="40% - 강조색6 7" xfId="142"/>
    <cellStyle name="40% - 강조색6 8" xfId="143"/>
    <cellStyle name="40% - 강조색6 8 2" xfId="144"/>
    <cellStyle name="40% - 강조색6 8_이천설봉2차전기공정표(미반영)" xfId="145"/>
    <cellStyle name="40% - 강조색6 9" xfId="146"/>
    <cellStyle name="40% - 강조색6 9 2" xfId="147"/>
    <cellStyle name="40% - 강조색6 9_이천설봉2차전기공정표(미반영)" xfId="148"/>
    <cellStyle name="60% - 강조색1 2" xfId="149"/>
    <cellStyle name="60% - 강조색1 3" xfId="150"/>
    <cellStyle name="60% - 강조색1 4" xfId="151"/>
    <cellStyle name="60% - 강조색1 5" xfId="152"/>
    <cellStyle name="60% - 강조색1 6" xfId="153"/>
    <cellStyle name="60% - 강조색1 7" xfId="154"/>
    <cellStyle name="60% - 강조색1 8" xfId="155"/>
    <cellStyle name="60% - 강조색1 8 2" xfId="156"/>
    <cellStyle name="60% - 강조색1 9" xfId="157"/>
    <cellStyle name="60% - 강조색1 9 2" xfId="158"/>
    <cellStyle name="60% - 강조색2 2" xfId="159"/>
    <cellStyle name="60% - 강조색2 3" xfId="160"/>
    <cellStyle name="60% - 강조색2 4" xfId="161"/>
    <cellStyle name="60% - 강조색2 5" xfId="162"/>
    <cellStyle name="60% - 강조색2 6" xfId="163"/>
    <cellStyle name="60% - 강조색2 7" xfId="164"/>
    <cellStyle name="60% - 강조색2 8" xfId="165"/>
    <cellStyle name="60% - 강조색2 8 2" xfId="166"/>
    <cellStyle name="60% - 강조색2 9" xfId="167"/>
    <cellStyle name="60% - 강조색2 9 2" xfId="168"/>
    <cellStyle name="60% - 강조색3 2" xfId="169"/>
    <cellStyle name="60% - 강조색3 3" xfId="170"/>
    <cellStyle name="60% - 강조색3 4" xfId="171"/>
    <cellStyle name="60% - 강조색3 5" xfId="172"/>
    <cellStyle name="60% - 강조색3 6" xfId="173"/>
    <cellStyle name="60% - 강조색3 7" xfId="174"/>
    <cellStyle name="60% - 강조색3 8" xfId="175"/>
    <cellStyle name="60% - 강조색3 8 2" xfId="176"/>
    <cellStyle name="60% - 강조색3 9" xfId="177"/>
    <cellStyle name="60% - 강조색3 9 2" xfId="178"/>
    <cellStyle name="60% - 강조색4 2" xfId="179"/>
    <cellStyle name="60% - 강조색4 3" xfId="180"/>
    <cellStyle name="60% - 강조색4 4" xfId="181"/>
    <cellStyle name="60% - 강조색4 5" xfId="182"/>
    <cellStyle name="60% - 강조색4 6" xfId="183"/>
    <cellStyle name="60% - 강조색4 7" xfId="184"/>
    <cellStyle name="60% - 강조색4 8" xfId="185"/>
    <cellStyle name="60% - 강조색4 8 2" xfId="186"/>
    <cellStyle name="60% - 강조색4 9" xfId="187"/>
    <cellStyle name="60% - 강조색4 9 2" xfId="188"/>
    <cellStyle name="60% - 강조색5 2" xfId="189"/>
    <cellStyle name="60% - 강조색5 3" xfId="190"/>
    <cellStyle name="60% - 강조색5 4" xfId="191"/>
    <cellStyle name="60% - 강조색5 5" xfId="192"/>
    <cellStyle name="60% - 강조색5 6" xfId="193"/>
    <cellStyle name="60% - 강조색5 7" xfId="194"/>
    <cellStyle name="60% - 강조색5 8" xfId="195"/>
    <cellStyle name="60% - 강조색5 8 2" xfId="196"/>
    <cellStyle name="60% - 강조색5 9" xfId="197"/>
    <cellStyle name="60% - 강조색5 9 2" xfId="198"/>
    <cellStyle name="60% - 강조색6 2" xfId="199"/>
    <cellStyle name="60% - 강조색6 3" xfId="200"/>
    <cellStyle name="60% - 강조색6 4" xfId="201"/>
    <cellStyle name="60% - 강조색6 5" xfId="202"/>
    <cellStyle name="60% - 강조색6 6" xfId="203"/>
    <cellStyle name="60% - 강조색6 7" xfId="204"/>
    <cellStyle name="60% - 강조색6 8" xfId="205"/>
    <cellStyle name="60% - 강조색6 8 2" xfId="206"/>
    <cellStyle name="60% - 강조색6 9" xfId="207"/>
    <cellStyle name="60% - 강조색6 9 2" xfId="208"/>
    <cellStyle name="A¨­￠￢￠O [0]_INQUIRY ￠?￥i¨u¡AAⓒ￢Aⓒª " xfId="548"/>
    <cellStyle name="A¨­￠￢￠O_INQUIRY ￠?￥i¨u¡AAⓒ￢Aⓒª " xfId="549"/>
    <cellStyle name="AeE­ [0]_AMT " xfId="550"/>
    <cellStyle name="AeE­_AMT " xfId="551"/>
    <cellStyle name="AeE¡ⓒ [0]_INQUIRY ￠?￥i¨u¡AAⓒ￢Aⓒª " xfId="552"/>
    <cellStyle name="AeE¡ⓒ_INQUIRY ￠?￥i¨u¡AAⓒ￢Aⓒª " xfId="553"/>
    <cellStyle name="AÞ¸¶ [0]_AN°y(1.25) " xfId="554"/>
    <cellStyle name="AÞ¸¶_AN°y(1.25) " xfId="555"/>
    <cellStyle name="C¡IA¨ª_¡ic¨u¡A¨￢I¨￢¡Æ AN¡Æe " xfId="556"/>
    <cellStyle name="C￥AØ_¿μ¾÷CoE² " xfId="557"/>
    <cellStyle name="category" xfId="209"/>
    <cellStyle name="Comma" xfId="210"/>
    <cellStyle name="Comma [0]_ SG&amp;A Bridge " xfId="211"/>
    <cellStyle name="comma zerodec" xfId="212"/>
    <cellStyle name="Comma_ SG&amp;A Bridge " xfId="213"/>
    <cellStyle name="Comma0" xfId="558"/>
    <cellStyle name="Curren" xfId="214"/>
    <cellStyle name="Curren?_x0012_퐀_x0017_?" xfId="559"/>
    <cellStyle name="Currency" xfId="215"/>
    <cellStyle name="Currency [0]_ SG&amp;A Bridge " xfId="560"/>
    <cellStyle name="Currency_ SG&amp;A Bridge " xfId="561"/>
    <cellStyle name="Currency0" xfId="216"/>
    <cellStyle name="Currency1" xfId="217"/>
    <cellStyle name="Date" xfId="218"/>
    <cellStyle name="Dollar (zero dec)" xfId="219"/>
    <cellStyle name="F3" xfId="220"/>
    <cellStyle name="F5" xfId="221"/>
    <cellStyle name="F6" xfId="222"/>
    <cellStyle name="F7" xfId="223"/>
    <cellStyle name="Fixed" xfId="224"/>
    <cellStyle name="Grey" xfId="225"/>
    <cellStyle name="HEADER" xfId="226"/>
    <cellStyle name="Header1" xfId="227"/>
    <cellStyle name="Header2" xfId="228"/>
    <cellStyle name="Heading 1" xfId="562"/>
    <cellStyle name="Heading 2" xfId="563"/>
    <cellStyle name="Heading1" xfId="229"/>
    <cellStyle name="Heading2" xfId="230"/>
    <cellStyle name="heet1æꂘß_x0001__x0001__x0010__x0001_ဠ" xfId="231"/>
    <cellStyle name="Input [yellow]" xfId="232"/>
    <cellStyle name="Input_이천설봉2차감리지정신청(최종)" xfId="233"/>
    <cellStyle name="Model" xfId="234"/>
    <cellStyle name="Normal - Style1" xfId="235"/>
    <cellStyle name="Normal - 유형1" xfId="236"/>
    <cellStyle name="Normal_ SG&amp;A Bridge " xfId="237"/>
    <cellStyle name="Percent [2]" xfId="238"/>
    <cellStyle name="Percent_신분양가상한제(금흥동)" xfId="239"/>
    <cellStyle name="subhead" xfId="240"/>
    <cellStyle name="Total" xfId="241"/>
    <cellStyle name="강조색1 2" xfId="242"/>
    <cellStyle name="강조색1 3" xfId="243"/>
    <cellStyle name="강조색1 4" xfId="244"/>
    <cellStyle name="강조색1 5" xfId="245"/>
    <cellStyle name="강조색1 6" xfId="246"/>
    <cellStyle name="강조색1 7" xfId="247"/>
    <cellStyle name="강조색1 8" xfId="248"/>
    <cellStyle name="강조색1 8 2" xfId="249"/>
    <cellStyle name="강조색1 9" xfId="250"/>
    <cellStyle name="강조색1 9 2" xfId="251"/>
    <cellStyle name="강조색2 2" xfId="252"/>
    <cellStyle name="강조색2 3" xfId="253"/>
    <cellStyle name="강조색2 4" xfId="254"/>
    <cellStyle name="강조색2 5" xfId="255"/>
    <cellStyle name="강조색2 6" xfId="256"/>
    <cellStyle name="강조색2 7" xfId="257"/>
    <cellStyle name="강조색2 8" xfId="258"/>
    <cellStyle name="강조색2 8 2" xfId="259"/>
    <cellStyle name="강조색2 9" xfId="260"/>
    <cellStyle name="강조색2 9 2" xfId="261"/>
    <cellStyle name="강조색3 2" xfId="262"/>
    <cellStyle name="강조색3 3" xfId="263"/>
    <cellStyle name="강조색3 4" xfId="264"/>
    <cellStyle name="강조색3 5" xfId="265"/>
    <cellStyle name="강조색3 6" xfId="266"/>
    <cellStyle name="강조색3 7" xfId="267"/>
    <cellStyle name="강조색3 8" xfId="268"/>
    <cellStyle name="강조색3 8 2" xfId="269"/>
    <cellStyle name="강조색3 9" xfId="270"/>
    <cellStyle name="강조색3 9 2" xfId="271"/>
    <cellStyle name="강조색4 2" xfId="272"/>
    <cellStyle name="강조색4 3" xfId="273"/>
    <cellStyle name="강조색4 4" xfId="274"/>
    <cellStyle name="강조색4 5" xfId="275"/>
    <cellStyle name="강조색4 6" xfId="276"/>
    <cellStyle name="강조색4 7" xfId="277"/>
    <cellStyle name="강조색4 8" xfId="278"/>
    <cellStyle name="강조색4 8 2" xfId="279"/>
    <cellStyle name="강조색4 9" xfId="280"/>
    <cellStyle name="강조색4 9 2" xfId="281"/>
    <cellStyle name="강조색5 2" xfId="282"/>
    <cellStyle name="강조색5 3" xfId="283"/>
    <cellStyle name="강조색5 4" xfId="284"/>
    <cellStyle name="강조색5 5" xfId="285"/>
    <cellStyle name="강조색5 6" xfId="286"/>
    <cellStyle name="강조색5 7" xfId="287"/>
    <cellStyle name="강조색5 8" xfId="288"/>
    <cellStyle name="강조색5 8 2" xfId="289"/>
    <cellStyle name="강조색5 9" xfId="290"/>
    <cellStyle name="강조색5 9 2" xfId="291"/>
    <cellStyle name="강조색6 2" xfId="292"/>
    <cellStyle name="강조색6 3" xfId="293"/>
    <cellStyle name="강조색6 4" xfId="294"/>
    <cellStyle name="강조색6 5" xfId="295"/>
    <cellStyle name="강조색6 6" xfId="296"/>
    <cellStyle name="강조색6 7" xfId="297"/>
    <cellStyle name="강조색6 8" xfId="298"/>
    <cellStyle name="강조색6 8 2" xfId="299"/>
    <cellStyle name="강조색6 9" xfId="300"/>
    <cellStyle name="강조색6 9 2" xfId="301"/>
    <cellStyle name="경고문 2" xfId="302"/>
    <cellStyle name="경고문 3" xfId="303"/>
    <cellStyle name="경고문 4" xfId="304"/>
    <cellStyle name="경고문 5" xfId="305"/>
    <cellStyle name="경고문 6" xfId="306"/>
    <cellStyle name="경고문 7" xfId="307"/>
    <cellStyle name="경고문 8" xfId="308"/>
    <cellStyle name="경고문 8 2" xfId="309"/>
    <cellStyle name="경고문 9" xfId="310"/>
    <cellStyle name="경고문 9 2" xfId="311"/>
    <cellStyle name="계산 2" xfId="312"/>
    <cellStyle name="계산 3" xfId="313"/>
    <cellStyle name="계산 4" xfId="314"/>
    <cellStyle name="계산 5" xfId="315"/>
    <cellStyle name="계산 6" xfId="316"/>
    <cellStyle name="계산 7" xfId="317"/>
    <cellStyle name="계산 8" xfId="318"/>
    <cellStyle name="계산 8 2" xfId="319"/>
    <cellStyle name="계산 9" xfId="320"/>
    <cellStyle name="계산 9 2" xfId="321"/>
    <cellStyle name="고정소숫점" xfId="530"/>
    <cellStyle name="고정출력1" xfId="531"/>
    <cellStyle name="고정출력2" xfId="532"/>
    <cellStyle name="나쁨 2" xfId="322"/>
    <cellStyle name="나쁨 3" xfId="323"/>
    <cellStyle name="나쁨 4" xfId="324"/>
    <cellStyle name="나쁨 5" xfId="325"/>
    <cellStyle name="나쁨 6" xfId="326"/>
    <cellStyle name="나쁨 7" xfId="327"/>
    <cellStyle name="나쁨 8" xfId="328"/>
    <cellStyle name="나쁨 8 2" xfId="329"/>
    <cellStyle name="나쁨 9" xfId="330"/>
    <cellStyle name="나쁨 9 2" xfId="331"/>
    <cellStyle name="날짜" xfId="533"/>
    <cellStyle name="달러" xfId="534"/>
    <cellStyle name="뒤에 오는 하이퍼링크_@표준보할공정9911" xfId="535"/>
    <cellStyle name="똿뗦먛귟 [0.00]_PRODUCT DETAIL Q1" xfId="536"/>
    <cellStyle name="똿뗦먛귟_PRODUCT DETAIL Q1" xfId="537"/>
    <cellStyle name="메모 2" xfId="332"/>
    <cellStyle name="메모 3" xfId="333"/>
    <cellStyle name="메모 4" xfId="334"/>
    <cellStyle name="메모 5" xfId="335"/>
    <cellStyle name="메모 6" xfId="336"/>
    <cellStyle name="메모 7" xfId="337"/>
    <cellStyle name="메모 8" xfId="338"/>
    <cellStyle name="메모 8 2" xfId="339"/>
    <cellStyle name="메모 9" xfId="340"/>
    <cellStyle name="메모 9 2" xfId="341"/>
    <cellStyle name="믅됞 [0.00]_PRODUCT DETAIL Q1" xfId="538"/>
    <cellStyle name="믅됞_PRODUCT DETAIL Q1" xfId="539"/>
    <cellStyle name="백분율" xfId="2" builtinId="5"/>
    <cellStyle name="백분율 2" xfId="342"/>
    <cellStyle name="백분율 2 2" xfId="343"/>
    <cellStyle name="백분율 2 3" xfId="344"/>
    <cellStyle name="백분율 2 4" xfId="345"/>
    <cellStyle name="백분율 2 5" xfId="346"/>
    <cellStyle name="백분율 2 6" xfId="347"/>
    <cellStyle name="백분율 2 7" xfId="348"/>
    <cellStyle name="백분율 3" xfId="528"/>
    <cellStyle name="백분율 4" xfId="566"/>
    <cellStyle name="백분율_이천설봉2차전기감리비산출근거(저금액)" xfId="349"/>
    <cellStyle name="보통 2" xfId="350"/>
    <cellStyle name="보통 3" xfId="351"/>
    <cellStyle name="보통 4" xfId="352"/>
    <cellStyle name="보통 5" xfId="353"/>
    <cellStyle name="보통 6" xfId="354"/>
    <cellStyle name="보통 7" xfId="355"/>
    <cellStyle name="보통 8" xfId="356"/>
    <cellStyle name="보통 8 2" xfId="357"/>
    <cellStyle name="보통 9" xfId="358"/>
    <cellStyle name="보통 9 2" xfId="359"/>
    <cellStyle name="뷭?_BOOKSHIP" xfId="360"/>
    <cellStyle name="설명 텍스트 2" xfId="361"/>
    <cellStyle name="설명 텍스트 3" xfId="362"/>
    <cellStyle name="설명 텍스트 4" xfId="363"/>
    <cellStyle name="설명 텍스트 5" xfId="364"/>
    <cellStyle name="설명 텍스트 6" xfId="365"/>
    <cellStyle name="설명 텍스트 7" xfId="366"/>
    <cellStyle name="설명 텍스트 8" xfId="367"/>
    <cellStyle name="설명 텍스트 8 2" xfId="368"/>
    <cellStyle name="설명 텍스트 9" xfId="369"/>
    <cellStyle name="설명 텍스트 9 2" xfId="370"/>
    <cellStyle name="셀 확인 2" xfId="371"/>
    <cellStyle name="셀 확인 3" xfId="372"/>
    <cellStyle name="셀 확인 4" xfId="373"/>
    <cellStyle name="셀 확인 5" xfId="374"/>
    <cellStyle name="셀 확인 6" xfId="375"/>
    <cellStyle name="셀 확인 7" xfId="376"/>
    <cellStyle name="셀 확인 8" xfId="377"/>
    <cellStyle name="셀 확인 8 2" xfId="378"/>
    <cellStyle name="셀 확인 9" xfId="379"/>
    <cellStyle name="셀 확인 9 2" xfId="380"/>
    <cellStyle name="숫자(R)" xfId="540"/>
    <cellStyle name="쉼" xfId="381"/>
    <cellStyle name="쉼표 [0]" xfId="1" builtinId="6"/>
    <cellStyle name="쉼표 [0] 10" xfId="565"/>
    <cellStyle name="쉼표 [0] 11" xfId="382"/>
    <cellStyle name="쉼표 [0] 13" xfId="383"/>
    <cellStyle name="쉼표 [0] 14" xfId="384"/>
    <cellStyle name="쉼표 [0] 2" xfId="385"/>
    <cellStyle name="쉼표 [0] 2 2" xfId="386"/>
    <cellStyle name="쉼표 [0] 2 3" xfId="387"/>
    <cellStyle name="쉼표 [0] 2 4" xfId="388"/>
    <cellStyle name="쉼표 [0] 2 5" xfId="389"/>
    <cellStyle name="쉼표 [0] 2 6" xfId="390"/>
    <cellStyle name="쉼표 [0] 2 7" xfId="391"/>
    <cellStyle name="쉼표 [0] 2_이천설봉2차감리지정신청(최종)" xfId="392"/>
    <cellStyle name="쉼표 [0] 3" xfId="393"/>
    <cellStyle name="쉼표 [0] 4" xfId="394"/>
    <cellStyle name="쉼표 [0] 5" xfId="395"/>
    <cellStyle name="쉼표 [0] 5 2" xfId="396"/>
    <cellStyle name="쉼표 [0] 5_이천설봉2차감리지정신청(최종)" xfId="397"/>
    <cellStyle name="쉼표 [0] 6" xfId="398"/>
    <cellStyle name="쉼표 [0] 6 2" xfId="399"/>
    <cellStyle name="쉼표 [0] 6_이천설봉2차감리지정신청(최종)" xfId="400"/>
    <cellStyle name="쉼표 [0] 7" xfId="401"/>
    <cellStyle name="쉼표 [0] 8" xfId="402"/>
    <cellStyle name="쉼표 [0] 9" xfId="525"/>
    <cellStyle name="스타일 1" xfId="541"/>
    <cellStyle name="연결된 셀 2" xfId="403"/>
    <cellStyle name="연결된 셀 3" xfId="404"/>
    <cellStyle name="연결된 셀 4" xfId="405"/>
    <cellStyle name="연결된 셀 5" xfId="406"/>
    <cellStyle name="연결된 셀 6" xfId="407"/>
    <cellStyle name="연결된 셀 7" xfId="408"/>
    <cellStyle name="연결된 셀 8" xfId="409"/>
    <cellStyle name="연결된 셀 8 2" xfId="410"/>
    <cellStyle name="연결된 셀 9" xfId="411"/>
    <cellStyle name="연결된 셀 9 2" xfId="412"/>
    <cellStyle name="요약 2" xfId="413"/>
    <cellStyle name="요약 3" xfId="414"/>
    <cellStyle name="요약 4" xfId="415"/>
    <cellStyle name="요약 5" xfId="416"/>
    <cellStyle name="요약 6" xfId="417"/>
    <cellStyle name="요약 7" xfId="418"/>
    <cellStyle name="요약 8" xfId="419"/>
    <cellStyle name="요약 8 2" xfId="420"/>
    <cellStyle name="요약 9" xfId="421"/>
    <cellStyle name="요약 9 2" xfId="422"/>
    <cellStyle name="입력 2" xfId="423"/>
    <cellStyle name="입력 3" xfId="424"/>
    <cellStyle name="입력 4" xfId="425"/>
    <cellStyle name="입력 5" xfId="426"/>
    <cellStyle name="입력 6" xfId="427"/>
    <cellStyle name="입력 7" xfId="428"/>
    <cellStyle name="입력 8" xfId="429"/>
    <cellStyle name="입력 8 2" xfId="430"/>
    <cellStyle name="입력 9" xfId="431"/>
    <cellStyle name="입력 9 2" xfId="432"/>
    <cellStyle name="자리수" xfId="542"/>
    <cellStyle name="자리수0" xfId="543"/>
    <cellStyle name="제목 1 2" xfId="433"/>
    <cellStyle name="제목 1 3" xfId="434"/>
    <cellStyle name="제목 1 4" xfId="435"/>
    <cellStyle name="제목 1 5" xfId="436"/>
    <cellStyle name="제목 1 6" xfId="437"/>
    <cellStyle name="제목 1 7" xfId="438"/>
    <cellStyle name="제목 1 8" xfId="439"/>
    <cellStyle name="제목 1 8 2" xfId="440"/>
    <cellStyle name="제목 1 9" xfId="441"/>
    <cellStyle name="제목 1 9 2" xfId="442"/>
    <cellStyle name="제목 10" xfId="443"/>
    <cellStyle name="제목 11" xfId="444"/>
    <cellStyle name="제목 11 2" xfId="445"/>
    <cellStyle name="제목 12" xfId="446"/>
    <cellStyle name="제목 12 2" xfId="447"/>
    <cellStyle name="제목 2 2" xfId="448"/>
    <cellStyle name="제목 2 3" xfId="449"/>
    <cellStyle name="제목 2 4" xfId="450"/>
    <cellStyle name="제목 2 5" xfId="451"/>
    <cellStyle name="제목 2 6" xfId="452"/>
    <cellStyle name="제목 2 7" xfId="453"/>
    <cellStyle name="제목 2 8" xfId="454"/>
    <cellStyle name="제목 2 8 2" xfId="455"/>
    <cellStyle name="제목 2 9" xfId="456"/>
    <cellStyle name="제목 2 9 2" xfId="457"/>
    <cellStyle name="제목 3 2" xfId="458"/>
    <cellStyle name="제목 3 3" xfId="459"/>
    <cellStyle name="제목 3 4" xfId="460"/>
    <cellStyle name="제목 3 5" xfId="461"/>
    <cellStyle name="제목 3 6" xfId="462"/>
    <cellStyle name="제목 3 7" xfId="463"/>
    <cellStyle name="제목 3 8" xfId="464"/>
    <cellStyle name="제목 3 8 2" xfId="465"/>
    <cellStyle name="제목 3 9" xfId="466"/>
    <cellStyle name="제목 3 9 2" xfId="467"/>
    <cellStyle name="제목 4 2" xfId="468"/>
    <cellStyle name="제목 4 3" xfId="469"/>
    <cellStyle name="제목 4 4" xfId="470"/>
    <cellStyle name="제목 4 5" xfId="471"/>
    <cellStyle name="제목 4 6" xfId="472"/>
    <cellStyle name="제목 4 7" xfId="473"/>
    <cellStyle name="제목 4 8" xfId="474"/>
    <cellStyle name="제목 4 8 2" xfId="475"/>
    <cellStyle name="제목 4 9" xfId="476"/>
    <cellStyle name="제목 4 9 2" xfId="477"/>
    <cellStyle name="제목 5" xfId="478"/>
    <cellStyle name="제목 6" xfId="479"/>
    <cellStyle name="제목 7" xfId="480"/>
    <cellStyle name="제목 8" xfId="481"/>
    <cellStyle name="제목 9" xfId="482"/>
    <cellStyle name="좋음 2" xfId="483"/>
    <cellStyle name="좋음 3" xfId="484"/>
    <cellStyle name="좋음 4" xfId="485"/>
    <cellStyle name="좋음 5" xfId="486"/>
    <cellStyle name="좋음 6" xfId="487"/>
    <cellStyle name="좋음 7" xfId="488"/>
    <cellStyle name="좋음 8" xfId="489"/>
    <cellStyle name="좋음 8 2" xfId="490"/>
    <cellStyle name="좋음 9" xfId="491"/>
    <cellStyle name="좋음 9 2" xfId="492"/>
    <cellStyle name="지정되지 않음" xfId="493"/>
    <cellStyle name="출력 2" xfId="494"/>
    <cellStyle name="출력 3" xfId="495"/>
    <cellStyle name="출력 4" xfId="496"/>
    <cellStyle name="출력 5" xfId="497"/>
    <cellStyle name="출력 6" xfId="498"/>
    <cellStyle name="출력 7" xfId="499"/>
    <cellStyle name="출력 8" xfId="500"/>
    <cellStyle name="출력 8 2" xfId="501"/>
    <cellStyle name="출력 9" xfId="502"/>
    <cellStyle name="출력 9 2" xfId="503"/>
    <cellStyle name="콤마 [0]_  종  합  " xfId="504"/>
    <cellStyle name="콤마[0]" xfId="505"/>
    <cellStyle name="콤마_  종  합  " xfId="506"/>
    <cellStyle name="통화 [0] 2" xfId="507"/>
    <cellStyle name="퍼센트" xfId="508"/>
    <cellStyle name="표" xfId="544"/>
    <cellStyle name="표준" xfId="0" builtinId="0"/>
    <cellStyle name="표준 10" xfId="509"/>
    <cellStyle name="표준 11" xfId="510"/>
    <cellStyle name="표준 12" xfId="511"/>
    <cellStyle name="표준 13" xfId="512"/>
    <cellStyle name="표준 14" xfId="513"/>
    <cellStyle name="표준 15" xfId="526"/>
    <cellStyle name="표준 15 2" xfId="567"/>
    <cellStyle name="표준 16" xfId="564"/>
    <cellStyle name="표준 2" xfId="514"/>
    <cellStyle name="표준 3" xfId="515"/>
    <cellStyle name="표준 3 2" xfId="568"/>
    <cellStyle name="표준 4" xfId="516"/>
    <cellStyle name="표준 5" xfId="517"/>
    <cellStyle name="표준 6" xfId="518"/>
    <cellStyle name="표준 7" xfId="519"/>
    <cellStyle name="표준 8" xfId="520"/>
    <cellStyle name="표준 9" xfId="521"/>
    <cellStyle name="표준_감리자지정신청(감삼동-전기)070222" xfId="522"/>
    <cellStyle name="표준_대덕테크노밸리감리비산정" xfId="527"/>
    <cellStyle name="표준_이천설봉2차전기감리비산출근거(저금액)" xfId="523"/>
    <cellStyle name="표준2" xfId="524"/>
    <cellStyle name="합산" xfId="545"/>
    <cellStyle name="화폐기호" xfId="546"/>
    <cellStyle name="화폐기호0" xfId="547"/>
  </cellStyles>
  <dxfs count="0"/>
  <tableStyles count="0" defaultTableStyle="TableStyleMedium2" defaultPivotStyle="PivotStyleLight16"/>
  <colors>
    <mruColors>
      <color rgb="FFFFFF99"/>
      <color rgb="FFC0C0C0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0500;&#49328;%20&#48176;&#48169;\&#44048;&#47532;&#48708;&#49328;&#51221;\&#48176;&#48169;2&#52264;%20&#54392;&#47476;&#51648;&#50724;&#44048;&#47532;&#48708;_120229%20&#52572;&#51333;&#4837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652;&#55148;&#51089;&#50629;&#49892;\&#51452;&#53469;&#49324;&#50629;\&#51088;&#52404;&#49324;&#50629;\&#54616;&#45224;&#48120;&#49324;A6&#48660;&#47085;\7.&#51064;&#54728;&#44032;\140307_&#44048;&#47532;&#51648;&#51221;&#44277;&#44256;\&#44048;&#47532;&#50857;&#50669;&#48708;(&#51204;&#44592;)%20&#49328;&#52636;(&#49688;&#5122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P"/>
      <sheetName val="2P"/>
      <sheetName val="3P"/>
      <sheetName val="4P"/>
      <sheetName val="사업개요"/>
      <sheetName val="전기감리비"/>
      <sheetName val="건축감리비"/>
      <sheetName val="전기정보통신감리비"/>
      <sheetName val="수입"/>
    </sheetNames>
    <sheetDataSet>
      <sheetData sheetId="0"/>
      <sheetData sheetId="1">
        <row r="6">
          <cell r="G6">
            <v>0</v>
          </cell>
        </row>
        <row r="19">
          <cell r="E19">
            <v>0.10600000000000001</v>
          </cell>
          <cell r="F19">
            <v>0.10600000000000001</v>
          </cell>
          <cell r="G19">
            <v>0</v>
          </cell>
          <cell r="H19">
            <v>0</v>
          </cell>
        </row>
        <row r="43">
          <cell r="E43">
            <v>0.56399999999999995</v>
          </cell>
          <cell r="F43">
            <v>0.56399999999999995</v>
          </cell>
          <cell r="G43">
            <v>0</v>
          </cell>
          <cell r="H43">
            <v>0</v>
          </cell>
        </row>
        <row r="53">
          <cell r="E53">
            <v>0.11000000000000001</v>
          </cell>
          <cell r="F53">
            <v>0.11000000000000001</v>
          </cell>
          <cell r="G53">
            <v>0</v>
          </cell>
          <cell r="H53">
            <v>0</v>
          </cell>
        </row>
        <row r="54">
          <cell r="E54">
            <v>5.8999999999999997E-2</v>
          </cell>
          <cell r="F54">
            <v>0</v>
          </cell>
          <cell r="G54">
            <v>0</v>
          </cell>
          <cell r="H54">
            <v>5.8999999999999997E-2</v>
          </cell>
        </row>
        <row r="55">
          <cell r="E55">
            <v>3.9E-2</v>
          </cell>
          <cell r="F55">
            <v>0</v>
          </cell>
          <cell r="G55">
            <v>0</v>
          </cell>
          <cell r="H55">
            <v>3.9E-2</v>
          </cell>
        </row>
        <row r="56">
          <cell r="E56">
            <v>2.5000000000000001E-2</v>
          </cell>
          <cell r="F56">
            <v>0</v>
          </cell>
          <cell r="G56">
            <v>0</v>
          </cell>
          <cell r="H56">
            <v>2.5000000000000001E-2</v>
          </cell>
        </row>
        <row r="57">
          <cell r="F57">
            <v>0</v>
          </cell>
          <cell r="H57">
            <v>0</v>
          </cell>
        </row>
      </sheetData>
      <sheetData sheetId="2">
        <row r="11">
          <cell r="L11">
            <v>0.13621260632170032</v>
          </cell>
        </row>
      </sheetData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감리용역비내역서"/>
      <sheetName val="산출내역서"/>
      <sheetName val="2P"/>
    </sheetNames>
    <sheetDataSet>
      <sheetData sheetId="0" refreshError="1"/>
      <sheetData sheetId="1"/>
      <sheetData sheetId="2">
        <row r="6">
          <cell r="D6">
            <v>1862</v>
          </cell>
        </row>
        <row r="11">
          <cell r="J11">
            <v>369739458</v>
          </cell>
        </row>
        <row r="18">
          <cell r="J18">
            <v>406713403.80000001</v>
          </cell>
        </row>
        <row r="22">
          <cell r="J22">
            <v>155290572</v>
          </cell>
        </row>
        <row r="27">
          <cell r="J27">
            <v>107199301</v>
          </cell>
        </row>
        <row r="30">
          <cell r="J30">
            <v>100838034</v>
          </cell>
        </row>
        <row r="32">
          <cell r="J32">
            <v>3361267</v>
          </cell>
        </row>
        <row r="37">
          <cell r="J37">
            <v>3000000</v>
          </cell>
        </row>
        <row r="39">
          <cell r="J39">
            <v>1038942734.8</v>
          </cell>
        </row>
        <row r="40">
          <cell r="J40">
            <v>103894273.48</v>
          </cell>
        </row>
        <row r="56">
          <cell r="D56">
            <v>1142837008.28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46"/>
  <sheetViews>
    <sheetView showGridLines="0" zoomScale="90" workbookViewId="0">
      <selection activeCell="E15" sqref="E15:E21"/>
    </sheetView>
  </sheetViews>
  <sheetFormatPr defaultRowHeight="18" customHeight="1"/>
  <cols>
    <col min="1" max="1" width="1.21875" style="1" customWidth="1"/>
    <col min="2" max="2" width="10.88671875" style="1" customWidth="1"/>
    <col min="3" max="3" width="13.44140625" style="1" customWidth="1"/>
    <col min="4" max="4" width="19.6640625" style="2" customWidth="1"/>
    <col min="5" max="5" width="14.77734375" style="3" customWidth="1"/>
    <col min="6" max="6" width="14.109375" style="3" customWidth="1"/>
    <col min="7" max="8" width="12.44140625" style="3" customWidth="1"/>
    <col min="9" max="16384" width="8.88671875" style="1"/>
  </cols>
  <sheetData>
    <row r="1" spans="2:10" ht="18" customHeight="1">
      <c r="B1" s="1" t="s">
        <v>0</v>
      </c>
    </row>
    <row r="2" spans="2:10" ht="27" customHeight="1">
      <c r="B2" s="4" t="s">
        <v>1</v>
      </c>
      <c r="C2" s="5"/>
      <c r="D2" s="6"/>
      <c r="E2" s="7"/>
      <c r="F2" s="7"/>
      <c r="G2" s="7"/>
      <c r="H2" s="7"/>
    </row>
    <row r="3" spans="2:10" ht="18" customHeight="1" thickBot="1">
      <c r="E3" s="8"/>
      <c r="F3" s="8"/>
      <c r="G3" s="8"/>
      <c r="H3" s="9" t="s">
        <v>2</v>
      </c>
    </row>
    <row r="4" spans="2:10" s="15" customFormat="1" ht="21.95" customHeight="1" thickBot="1">
      <c r="B4" s="10" t="s">
        <v>3</v>
      </c>
      <c r="C4" s="11" t="s">
        <v>4</v>
      </c>
      <c r="D4" s="12" t="s">
        <v>5</v>
      </c>
      <c r="E4" s="13" t="s">
        <v>6</v>
      </c>
      <c r="F4" s="13" t="s">
        <v>7</v>
      </c>
      <c r="G4" s="13" t="s">
        <v>8</v>
      </c>
      <c r="H4" s="14" t="s">
        <v>9</v>
      </c>
    </row>
    <row r="5" spans="2:10" ht="21.95" customHeight="1" thickTop="1">
      <c r="B5" s="16" t="s">
        <v>10</v>
      </c>
      <c r="C5" s="17" t="s">
        <v>11</v>
      </c>
      <c r="D5" s="18" t="s">
        <v>12</v>
      </c>
      <c r="E5" s="19">
        <f>'[1]2P'!E19</f>
        <v>0.10600000000000001</v>
      </c>
      <c r="F5" s="19">
        <f>'[1]2P'!F19</f>
        <v>0.10600000000000001</v>
      </c>
      <c r="G5" s="19">
        <f>'[1]2P'!G19</f>
        <v>0</v>
      </c>
      <c r="H5" s="20">
        <f>'[1]2P'!H19</f>
        <v>0</v>
      </c>
    </row>
    <row r="6" spans="2:10" ht="21.95" customHeight="1">
      <c r="B6" s="16"/>
      <c r="C6" s="17"/>
      <c r="D6" s="21" t="s">
        <v>13</v>
      </c>
      <c r="E6" s="22">
        <f>'[1]2P'!E43</f>
        <v>0.56399999999999995</v>
      </c>
      <c r="F6" s="22">
        <f>'[1]2P'!F43</f>
        <v>0.56399999999999995</v>
      </c>
      <c r="G6" s="22">
        <f>'[1]2P'!G43</f>
        <v>0</v>
      </c>
      <c r="H6" s="23">
        <f>'[1]2P'!H43</f>
        <v>0</v>
      </c>
    </row>
    <row r="7" spans="2:10" ht="21.95" customHeight="1">
      <c r="B7" s="16"/>
      <c r="C7" s="17"/>
      <c r="D7" s="21" t="s">
        <v>14</v>
      </c>
      <c r="E7" s="22">
        <f>'[1]2P'!E53</f>
        <v>0.11000000000000001</v>
      </c>
      <c r="F7" s="22">
        <f>'[1]2P'!F53</f>
        <v>0.11000000000000001</v>
      </c>
      <c r="G7" s="22">
        <f>'[1]2P'!G53</f>
        <v>0</v>
      </c>
      <c r="H7" s="23">
        <f>'[1]2P'!H53</f>
        <v>0</v>
      </c>
    </row>
    <row r="8" spans="2:10" ht="21.95" customHeight="1">
      <c r="B8" s="24"/>
      <c r="C8" s="25"/>
      <c r="D8" s="21" t="s">
        <v>15</v>
      </c>
      <c r="E8" s="22">
        <f>'[1]2P'!E54</f>
        <v>5.8999999999999997E-2</v>
      </c>
      <c r="F8" s="22">
        <f>'[1]2P'!F54</f>
        <v>0</v>
      </c>
      <c r="G8" s="22">
        <f>'[1]2P'!G54</f>
        <v>0</v>
      </c>
      <c r="H8" s="23">
        <f>'[1]2P'!H54</f>
        <v>5.8999999999999997E-2</v>
      </c>
    </row>
    <row r="9" spans="2:10" ht="21.95" customHeight="1">
      <c r="B9" s="24"/>
      <c r="C9" s="25"/>
      <c r="D9" s="21" t="s">
        <v>16</v>
      </c>
      <c r="E9" s="22">
        <f>'[1]2P'!E55</f>
        <v>3.9E-2</v>
      </c>
      <c r="F9" s="22">
        <f>'[1]2P'!F55</f>
        <v>0</v>
      </c>
      <c r="G9" s="22">
        <f>'[1]2P'!G55</f>
        <v>0</v>
      </c>
      <c r="H9" s="23">
        <f>'[1]2P'!H55</f>
        <v>3.9E-2</v>
      </c>
    </row>
    <row r="10" spans="2:10" ht="21.95" customHeight="1">
      <c r="B10" s="24"/>
      <c r="C10" s="25"/>
      <c r="D10" s="21" t="s">
        <v>17</v>
      </c>
      <c r="E10" s="22">
        <f>'[1]2P'!E56</f>
        <v>2.5000000000000001E-2</v>
      </c>
      <c r="F10" s="22">
        <f>'[1]2P'!F56</f>
        <v>0</v>
      </c>
      <c r="G10" s="22">
        <f>'[1]2P'!G56</f>
        <v>0</v>
      </c>
      <c r="H10" s="23">
        <f>'[1]2P'!H56</f>
        <v>2.5000000000000001E-2</v>
      </c>
    </row>
    <row r="11" spans="2:10" ht="21.95" customHeight="1">
      <c r="B11" s="24"/>
      <c r="C11" s="26"/>
      <c r="D11" s="27" t="s">
        <v>18</v>
      </c>
      <c r="E11" s="28">
        <f>SUM(E5:E10)</f>
        <v>0.90300000000000002</v>
      </c>
      <c r="F11" s="28">
        <f>SUM(F5:F10)</f>
        <v>0.77999999999999992</v>
      </c>
      <c r="G11" s="28">
        <f>SUM(G5:G10)</f>
        <v>0</v>
      </c>
      <c r="H11" s="29">
        <f>SUM(H5:H10)</f>
        <v>0.123</v>
      </c>
    </row>
    <row r="12" spans="2:10" ht="21.95" customHeight="1">
      <c r="B12" s="24"/>
      <c r="C12" s="30" t="s">
        <v>19</v>
      </c>
      <c r="D12" s="31"/>
      <c r="E12" s="22">
        <v>0</v>
      </c>
      <c r="F12" s="22">
        <f>'[1]2P'!F57</f>
        <v>0</v>
      </c>
      <c r="G12" s="22">
        <v>0</v>
      </c>
      <c r="H12" s="23">
        <f>'[1]2P'!H57</f>
        <v>0</v>
      </c>
    </row>
    <row r="13" spans="2:10" ht="21.95" customHeight="1">
      <c r="B13" s="24"/>
      <c r="C13" s="32" t="s">
        <v>20</v>
      </c>
      <c r="D13" s="31"/>
      <c r="E13" s="22"/>
      <c r="F13" s="22"/>
      <c r="G13" s="22"/>
      <c r="H13" s="23"/>
    </row>
    <row r="14" spans="2:10" ht="21.95" customHeight="1" thickBot="1">
      <c r="B14" s="33" t="s">
        <v>21</v>
      </c>
      <c r="C14" s="34"/>
      <c r="D14" s="35"/>
      <c r="E14" s="36">
        <f>SUM(E11:E13)</f>
        <v>0.90300000000000002</v>
      </c>
      <c r="F14" s="36">
        <f>SUM(F11:F13)</f>
        <v>0.77999999999999992</v>
      </c>
      <c r="G14" s="36">
        <f>SUM(G11:G13)</f>
        <v>0</v>
      </c>
      <c r="H14" s="37">
        <f>SUM(H11:H13)</f>
        <v>0.123</v>
      </c>
      <c r="J14" s="38"/>
    </row>
    <row r="15" spans="2:10" ht="21.95" customHeight="1">
      <c r="B15" s="16" t="s">
        <v>22</v>
      </c>
      <c r="C15" s="39" t="s">
        <v>23</v>
      </c>
      <c r="D15" s="40"/>
      <c r="E15" s="41"/>
      <c r="F15" s="41"/>
      <c r="G15" s="41"/>
      <c r="H15" s="42"/>
    </row>
    <row r="16" spans="2:10" ht="21.95" customHeight="1">
      <c r="B16" s="16"/>
      <c r="C16" s="32" t="s">
        <v>24</v>
      </c>
      <c r="D16" s="31"/>
      <c r="E16" s="43"/>
      <c r="F16" s="43"/>
      <c r="G16" s="43"/>
      <c r="H16" s="44"/>
    </row>
    <row r="17" spans="2:8" ht="21.95" customHeight="1">
      <c r="B17" s="16"/>
      <c r="C17" s="30" t="s">
        <v>25</v>
      </c>
      <c r="D17" s="31"/>
      <c r="E17" s="43"/>
      <c r="F17" s="43"/>
      <c r="G17" s="43"/>
      <c r="H17" s="44"/>
    </row>
    <row r="18" spans="2:8" ht="21.95" customHeight="1">
      <c r="B18" s="24"/>
      <c r="C18" s="32" t="s">
        <v>26</v>
      </c>
      <c r="D18" s="31"/>
      <c r="E18" s="43"/>
      <c r="F18" s="43"/>
      <c r="G18" s="43"/>
      <c r="H18" s="44"/>
    </row>
    <row r="19" spans="2:8" ht="21.95" customHeight="1">
      <c r="B19" s="24"/>
      <c r="C19" s="32" t="s">
        <v>27</v>
      </c>
      <c r="D19" s="31"/>
      <c r="E19" s="43"/>
      <c r="F19" s="43"/>
      <c r="G19" s="43"/>
      <c r="H19" s="44"/>
    </row>
    <row r="20" spans="2:8" ht="21.95" customHeight="1">
      <c r="B20" s="24"/>
      <c r="C20" s="32" t="s">
        <v>28</v>
      </c>
      <c r="D20" s="31"/>
      <c r="E20" s="43"/>
      <c r="F20" s="43"/>
      <c r="G20" s="43"/>
      <c r="H20" s="44"/>
    </row>
    <row r="21" spans="2:8" ht="21.95" customHeight="1" thickBot="1">
      <c r="B21" s="33" t="s">
        <v>21</v>
      </c>
      <c r="C21" s="34"/>
      <c r="D21" s="35"/>
      <c r="E21" s="45"/>
      <c r="F21" s="45"/>
      <c r="G21" s="45"/>
      <c r="H21" s="46"/>
    </row>
    <row r="22" spans="2:8" ht="21.95" customHeight="1">
      <c r="B22" s="47" t="s">
        <v>29</v>
      </c>
      <c r="C22" s="48"/>
      <c r="D22" s="49"/>
      <c r="E22" s="41"/>
      <c r="F22" s="41"/>
      <c r="G22" s="41"/>
      <c r="H22" s="42"/>
    </row>
    <row r="23" spans="2:8" ht="21.95" customHeight="1" thickBot="1">
      <c r="B23" s="50" t="s">
        <v>30</v>
      </c>
      <c r="C23" s="51"/>
      <c r="D23" s="52"/>
      <c r="E23" s="53"/>
      <c r="F23" s="53"/>
      <c r="G23" s="53"/>
      <c r="H23" s="54"/>
    </row>
    <row r="24" spans="2:8" ht="21.95" customHeight="1" thickTop="1" thickBot="1">
      <c r="B24" s="55" t="s">
        <v>31</v>
      </c>
      <c r="C24" s="56"/>
      <c r="D24" s="57"/>
      <c r="E24" s="58"/>
      <c r="F24" s="58"/>
      <c r="G24" s="58"/>
      <c r="H24" s="59"/>
    </row>
    <row r="46" spans="17:17" ht="18" customHeight="1">
      <c r="Q46" s="60"/>
    </row>
  </sheetData>
  <phoneticPr fontId="4" type="noConversion"/>
  <pageMargins left="0.74803149606299213" right="0.74803149606299213" top="0.78740157480314965" bottom="0.78740157480314965" header="0" footer="0"/>
  <pageSetup paperSize="9" scale="76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"/>
  <sheetViews>
    <sheetView tabSelected="1" view="pageBreakPreview" zoomScale="70" zoomScaleNormal="80" zoomScaleSheetLayoutView="70" workbookViewId="0">
      <selection activeCell="A3" sqref="A3:G3"/>
    </sheetView>
  </sheetViews>
  <sheetFormatPr defaultRowHeight="36.950000000000003" customHeight="1"/>
  <cols>
    <col min="1" max="1" width="12.77734375" style="241" customWidth="1"/>
    <col min="2" max="2" width="15.77734375" style="241" customWidth="1"/>
    <col min="3" max="3" width="20.77734375" style="242" customWidth="1"/>
    <col min="4" max="7" width="15.77734375" style="243" customWidth="1"/>
    <col min="8" max="246" width="8.88671875" style="231"/>
    <col min="247" max="247" width="12.77734375" style="231" customWidth="1"/>
    <col min="248" max="248" width="15.77734375" style="231" customWidth="1"/>
    <col min="249" max="249" width="20.77734375" style="231" customWidth="1"/>
    <col min="250" max="254" width="15.77734375" style="231" customWidth="1"/>
    <col min="255" max="255" width="8.88671875" style="231"/>
    <col min="256" max="256" width="10.44140625" style="231" bestFit="1" customWidth="1"/>
    <col min="257" max="257" width="13.88671875" style="231" bestFit="1" customWidth="1"/>
    <col min="258" max="502" width="8.88671875" style="231"/>
    <col min="503" max="503" width="12.77734375" style="231" customWidth="1"/>
    <col min="504" max="504" width="15.77734375" style="231" customWidth="1"/>
    <col min="505" max="505" width="20.77734375" style="231" customWidth="1"/>
    <col min="506" max="510" width="15.77734375" style="231" customWidth="1"/>
    <col min="511" max="511" width="8.88671875" style="231"/>
    <col min="512" max="512" width="10.44140625" style="231" bestFit="1" customWidth="1"/>
    <col min="513" max="513" width="13.88671875" style="231" bestFit="1" customWidth="1"/>
    <col min="514" max="758" width="8.88671875" style="231"/>
    <col min="759" max="759" width="12.77734375" style="231" customWidth="1"/>
    <col min="760" max="760" width="15.77734375" style="231" customWidth="1"/>
    <col min="761" max="761" width="20.77734375" style="231" customWidth="1"/>
    <col min="762" max="766" width="15.77734375" style="231" customWidth="1"/>
    <col min="767" max="767" width="8.88671875" style="231"/>
    <col min="768" max="768" width="10.44140625" style="231" bestFit="1" customWidth="1"/>
    <col min="769" max="769" width="13.88671875" style="231" bestFit="1" customWidth="1"/>
    <col min="770" max="1014" width="8.88671875" style="231"/>
    <col min="1015" max="1015" width="12.77734375" style="231" customWidth="1"/>
    <col min="1016" max="1016" width="15.77734375" style="231" customWidth="1"/>
    <col min="1017" max="1017" width="20.77734375" style="231" customWidth="1"/>
    <col min="1018" max="1022" width="15.77734375" style="231" customWidth="1"/>
    <col min="1023" max="1023" width="8.88671875" style="231"/>
    <col min="1024" max="1024" width="10.44140625" style="231" bestFit="1" customWidth="1"/>
    <col min="1025" max="1025" width="13.88671875" style="231" bestFit="1" customWidth="1"/>
    <col min="1026" max="1270" width="8.88671875" style="231"/>
    <col min="1271" max="1271" width="12.77734375" style="231" customWidth="1"/>
    <col min="1272" max="1272" width="15.77734375" style="231" customWidth="1"/>
    <col min="1273" max="1273" width="20.77734375" style="231" customWidth="1"/>
    <col min="1274" max="1278" width="15.77734375" style="231" customWidth="1"/>
    <col min="1279" max="1279" width="8.88671875" style="231"/>
    <col min="1280" max="1280" width="10.44140625" style="231" bestFit="1" customWidth="1"/>
    <col min="1281" max="1281" width="13.88671875" style="231" bestFit="1" customWidth="1"/>
    <col min="1282" max="1526" width="8.88671875" style="231"/>
    <col min="1527" max="1527" width="12.77734375" style="231" customWidth="1"/>
    <col min="1528" max="1528" width="15.77734375" style="231" customWidth="1"/>
    <col min="1529" max="1529" width="20.77734375" style="231" customWidth="1"/>
    <col min="1530" max="1534" width="15.77734375" style="231" customWidth="1"/>
    <col min="1535" max="1535" width="8.88671875" style="231"/>
    <col min="1536" max="1536" width="10.44140625" style="231" bestFit="1" customWidth="1"/>
    <col min="1537" max="1537" width="13.88671875" style="231" bestFit="1" customWidth="1"/>
    <col min="1538" max="1782" width="8.88671875" style="231"/>
    <col min="1783" max="1783" width="12.77734375" style="231" customWidth="1"/>
    <col min="1784" max="1784" width="15.77734375" style="231" customWidth="1"/>
    <col min="1785" max="1785" width="20.77734375" style="231" customWidth="1"/>
    <col min="1786" max="1790" width="15.77734375" style="231" customWidth="1"/>
    <col min="1791" max="1791" width="8.88671875" style="231"/>
    <col min="1792" max="1792" width="10.44140625" style="231" bestFit="1" customWidth="1"/>
    <col min="1793" max="1793" width="13.88671875" style="231" bestFit="1" customWidth="1"/>
    <col min="1794" max="2038" width="8.88671875" style="231"/>
    <col min="2039" max="2039" width="12.77734375" style="231" customWidth="1"/>
    <col min="2040" max="2040" width="15.77734375" style="231" customWidth="1"/>
    <col min="2041" max="2041" width="20.77734375" style="231" customWidth="1"/>
    <col min="2042" max="2046" width="15.77734375" style="231" customWidth="1"/>
    <col min="2047" max="2047" width="8.88671875" style="231"/>
    <col min="2048" max="2048" width="10.44140625" style="231" bestFit="1" customWidth="1"/>
    <col min="2049" max="2049" width="13.88671875" style="231" bestFit="1" customWidth="1"/>
    <col min="2050" max="2294" width="8.88671875" style="231"/>
    <col min="2295" max="2295" width="12.77734375" style="231" customWidth="1"/>
    <col min="2296" max="2296" width="15.77734375" style="231" customWidth="1"/>
    <col min="2297" max="2297" width="20.77734375" style="231" customWidth="1"/>
    <col min="2298" max="2302" width="15.77734375" style="231" customWidth="1"/>
    <col min="2303" max="2303" width="8.88671875" style="231"/>
    <col min="2304" max="2304" width="10.44140625" style="231" bestFit="1" customWidth="1"/>
    <col min="2305" max="2305" width="13.88671875" style="231" bestFit="1" customWidth="1"/>
    <col min="2306" max="2550" width="8.88671875" style="231"/>
    <col min="2551" max="2551" width="12.77734375" style="231" customWidth="1"/>
    <col min="2552" max="2552" width="15.77734375" style="231" customWidth="1"/>
    <col min="2553" max="2553" width="20.77734375" style="231" customWidth="1"/>
    <col min="2554" max="2558" width="15.77734375" style="231" customWidth="1"/>
    <col min="2559" max="2559" width="8.88671875" style="231"/>
    <col min="2560" max="2560" width="10.44140625" style="231" bestFit="1" customWidth="1"/>
    <col min="2561" max="2561" width="13.88671875" style="231" bestFit="1" customWidth="1"/>
    <col min="2562" max="2806" width="8.88671875" style="231"/>
    <col min="2807" max="2807" width="12.77734375" style="231" customWidth="1"/>
    <col min="2808" max="2808" width="15.77734375" style="231" customWidth="1"/>
    <col min="2809" max="2809" width="20.77734375" style="231" customWidth="1"/>
    <col min="2810" max="2814" width="15.77734375" style="231" customWidth="1"/>
    <col min="2815" max="2815" width="8.88671875" style="231"/>
    <col min="2816" max="2816" width="10.44140625" style="231" bestFit="1" customWidth="1"/>
    <col min="2817" max="2817" width="13.88671875" style="231" bestFit="1" customWidth="1"/>
    <col min="2818" max="3062" width="8.88671875" style="231"/>
    <col min="3063" max="3063" width="12.77734375" style="231" customWidth="1"/>
    <col min="3064" max="3064" width="15.77734375" style="231" customWidth="1"/>
    <col min="3065" max="3065" width="20.77734375" style="231" customWidth="1"/>
    <col min="3066" max="3070" width="15.77734375" style="231" customWidth="1"/>
    <col min="3071" max="3071" width="8.88671875" style="231"/>
    <col min="3072" max="3072" width="10.44140625" style="231" bestFit="1" customWidth="1"/>
    <col min="3073" max="3073" width="13.88671875" style="231" bestFit="1" customWidth="1"/>
    <col min="3074" max="3318" width="8.88671875" style="231"/>
    <col min="3319" max="3319" width="12.77734375" style="231" customWidth="1"/>
    <col min="3320" max="3320" width="15.77734375" style="231" customWidth="1"/>
    <col min="3321" max="3321" width="20.77734375" style="231" customWidth="1"/>
    <col min="3322" max="3326" width="15.77734375" style="231" customWidth="1"/>
    <col min="3327" max="3327" width="8.88671875" style="231"/>
    <col min="3328" max="3328" width="10.44140625" style="231" bestFit="1" customWidth="1"/>
    <col min="3329" max="3329" width="13.88671875" style="231" bestFit="1" customWidth="1"/>
    <col min="3330" max="3574" width="8.88671875" style="231"/>
    <col min="3575" max="3575" width="12.77734375" style="231" customWidth="1"/>
    <col min="3576" max="3576" width="15.77734375" style="231" customWidth="1"/>
    <col min="3577" max="3577" width="20.77734375" style="231" customWidth="1"/>
    <col min="3578" max="3582" width="15.77734375" style="231" customWidth="1"/>
    <col min="3583" max="3583" width="8.88671875" style="231"/>
    <col min="3584" max="3584" width="10.44140625" style="231" bestFit="1" customWidth="1"/>
    <col min="3585" max="3585" width="13.88671875" style="231" bestFit="1" customWidth="1"/>
    <col min="3586" max="3830" width="8.88671875" style="231"/>
    <col min="3831" max="3831" width="12.77734375" style="231" customWidth="1"/>
    <col min="3832" max="3832" width="15.77734375" style="231" customWidth="1"/>
    <col min="3833" max="3833" width="20.77734375" style="231" customWidth="1"/>
    <col min="3834" max="3838" width="15.77734375" style="231" customWidth="1"/>
    <col min="3839" max="3839" width="8.88671875" style="231"/>
    <col min="3840" max="3840" width="10.44140625" style="231" bestFit="1" customWidth="1"/>
    <col min="3841" max="3841" width="13.88671875" style="231" bestFit="1" customWidth="1"/>
    <col min="3842" max="4086" width="8.88671875" style="231"/>
    <col min="4087" max="4087" width="12.77734375" style="231" customWidth="1"/>
    <col min="4088" max="4088" width="15.77734375" style="231" customWidth="1"/>
    <col min="4089" max="4089" width="20.77734375" style="231" customWidth="1"/>
    <col min="4090" max="4094" width="15.77734375" style="231" customWidth="1"/>
    <col min="4095" max="4095" width="8.88671875" style="231"/>
    <col min="4096" max="4096" width="10.44140625" style="231" bestFit="1" customWidth="1"/>
    <col min="4097" max="4097" width="13.88671875" style="231" bestFit="1" customWidth="1"/>
    <col min="4098" max="4342" width="8.88671875" style="231"/>
    <col min="4343" max="4343" width="12.77734375" style="231" customWidth="1"/>
    <col min="4344" max="4344" width="15.77734375" style="231" customWidth="1"/>
    <col min="4345" max="4345" width="20.77734375" style="231" customWidth="1"/>
    <col min="4346" max="4350" width="15.77734375" style="231" customWidth="1"/>
    <col min="4351" max="4351" width="8.88671875" style="231"/>
    <col min="4352" max="4352" width="10.44140625" style="231" bestFit="1" customWidth="1"/>
    <col min="4353" max="4353" width="13.88671875" style="231" bestFit="1" customWidth="1"/>
    <col min="4354" max="4598" width="8.88671875" style="231"/>
    <col min="4599" max="4599" width="12.77734375" style="231" customWidth="1"/>
    <col min="4600" max="4600" width="15.77734375" style="231" customWidth="1"/>
    <col min="4601" max="4601" width="20.77734375" style="231" customWidth="1"/>
    <col min="4602" max="4606" width="15.77734375" style="231" customWidth="1"/>
    <col min="4607" max="4607" width="8.88671875" style="231"/>
    <col min="4608" max="4608" width="10.44140625" style="231" bestFit="1" customWidth="1"/>
    <col min="4609" max="4609" width="13.88671875" style="231" bestFit="1" customWidth="1"/>
    <col min="4610" max="4854" width="8.88671875" style="231"/>
    <col min="4855" max="4855" width="12.77734375" style="231" customWidth="1"/>
    <col min="4856" max="4856" width="15.77734375" style="231" customWidth="1"/>
    <col min="4857" max="4857" width="20.77734375" style="231" customWidth="1"/>
    <col min="4858" max="4862" width="15.77734375" style="231" customWidth="1"/>
    <col min="4863" max="4863" width="8.88671875" style="231"/>
    <col min="4864" max="4864" width="10.44140625" style="231" bestFit="1" customWidth="1"/>
    <col min="4865" max="4865" width="13.88671875" style="231" bestFit="1" customWidth="1"/>
    <col min="4866" max="5110" width="8.88671875" style="231"/>
    <col min="5111" max="5111" width="12.77734375" style="231" customWidth="1"/>
    <col min="5112" max="5112" width="15.77734375" style="231" customWidth="1"/>
    <col min="5113" max="5113" width="20.77734375" style="231" customWidth="1"/>
    <col min="5114" max="5118" width="15.77734375" style="231" customWidth="1"/>
    <col min="5119" max="5119" width="8.88671875" style="231"/>
    <col min="5120" max="5120" width="10.44140625" style="231" bestFit="1" customWidth="1"/>
    <col min="5121" max="5121" width="13.88671875" style="231" bestFit="1" customWidth="1"/>
    <col min="5122" max="5366" width="8.88671875" style="231"/>
    <col min="5367" max="5367" width="12.77734375" style="231" customWidth="1"/>
    <col min="5368" max="5368" width="15.77734375" style="231" customWidth="1"/>
    <col min="5369" max="5369" width="20.77734375" style="231" customWidth="1"/>
    <col min="5370" max="5374" width="15.77734375" style="231" customWidth="1"/>
    <col min="5375" max="5375" width="8.88671875" style="231"/>
    <col min="5376" max="5376" width="10.44140625" style="231" bestFit="1" customWidth="1"/>
    <col min="5377" max="5377" width="13.88671875" style="231" bestFit="1" customWidth="1"/>
    <col min="5378" max="5622" width="8.88671875" style="231"/>
    <col min="5623" max="5623" width="12.77734375" style="231" customWidth="1"/>
    <col min="5624" max="5624" width="15.77734375" style="231" customWidth="1"/>
    <col min="5625" max="5625" width="20.77734375" style="231" customWidth="1"/>
    <col min="5626" max="5630" width="15.77734375" style="231" customWidth="1"/>
    <col min="5631" max="5631" width="8.88671875" style="231"/>
    <col min="5632" max="5632" width="10.44140625" style="231" bestFit="1" customWidth="1"/>
    <col min="5633" max="5633" width="13.88671875" style="231" bestFit="1" customWidth="1"/>
    <col min="5634" max="5878" width="8.88671875" style="231"/>
    <col min="5879" max="5879" width="12.77734375" style="231" customWidth="1"/>
    <col min="5880" max="5880" width="15.77734375" style="231" customWidth="1"/>
    <col min="5881" max="5881" width="20.77734375" style="231" customWidth="1"/>
    <col min="5882" max="5886" width="15.77734375" style="231" customWidth="1"/>
    <col min="5887" max="5887" width="8.88671875" style="231"/>
    <col min="5888" max="5888" width="10.44140625" style="231" bestFit="1" customWidth="1"/>
    <col min="5889" max="5889" width="13.88671875" style="231" bestFit="1" customWidth="1"/>
    <col min="5890" max="6134" width="8.88671875" style="231"/>
    <col min="6135" max="6135" width="12.77734375" style="231" customWidth="1"/>
    <col min="6136" max="6136" width="15.77734375" style="231" customWidth="1"/>
    <col min="6137" max="6137" width="20.77734375" style="231" customWidth="1"/>
    <col min="6138" max="6142" width="15.77734375" style="231" customWidth="1"/>
    <col min="6143" max="6143" width="8.88671875" style="231"/>
    <col min="6144" max="6144" width="10.44140625" style="231" bestFit="1" customWidth="1"/>
    <col min="6145" max="6145" width="13.88671875" style="231" bestFit="1" customWidth="1"/>
    <col min="6146" max="6390" width="8.88671875" style="231"/>
    <col min="6391" max="6391" width="12.77734375" style="231" customWidth="1"/>
    <col min="6392" max="6392" width="15.77734375" style="231" customWidth="1"/>
    <col min="6393" max="6393" width="20.77734375" style="231" customWidth="1"/>
    <col min="6394" max="6398" width="15.77734375" style="231" customWidth="1"/>
    <col min="6399" max="6399" width="8.88671875" style="231"/>
    <col min="6400" max="6400" width="10.44140625" style="231" bestFit="1" customWidth="1"/>
    <col min="6401" max="6401" width="13.88671875" style="231" bestFit="1" customWidth="1"/>
    <col min="6402" max="6646" width="8.88671875" style="231"/>
    <col min="6647" max="6647" width="12.77734375" style="231" customWidth="1"/>
    <col min="6648" max="6648" width="15.77734375" style="231" customWidth="1"/>
    <col min="6649" max="6649" width="20.77734375" style="231" customWidth="1"/>
    <col min="6650" max="6654" width="15.77734375" style="231" customWidth="1"/>
    <col min="6655" max="6655" width="8.88671875" style="231"/>
    <col min="6656" max="6656" width="10.44140625" style="231" bestFit="1" customWidth="1"/>
    <col min="6657" max="6657" width="13.88671875" style="231" bestFit="1" customWidth="1"/>
    <col min="6658" max="6902" width="8.88671875" style="231"/>
    <col min="6903" max="6903" width="12.77734375" style="231" customWidth="1"/>
    <col min="6904" max="6904" width="15.77734375" style="231" customWidth="1"/>
    <col min="6905" max="6905" width="20.77734375" style="231" customWidth="1"/>
    <col min="6906" max="6910" width="15.77734375" style="231" customWidth="1"/>
    <col min="6911" max="6911" width="8.88671875" style="231"/>
    <col min="6912" max="6912" width="10.44140625" style="231" bestFit="1" customWidth="1"/>
    <col min="6913" max="6913" width="13.88671875" style="231" bestFit="1" customWidth="1"/>
    <col min="6914" max="7158" width="8.88671875" style="231"/>
    <col min="7159" max="7159" width="12.77734375" style="231" customWidth="1"/>
    <col min="7160" max="7160" width="15.77734375" style="231" customWidth="1"/>
    <col min="7161" max="7161" width="20.77734375" style="231" customWidth="1"/>
    <col min="7162" max="7166" width="15.77734375" style="231" customWidth="1"/>
    <col min="7167" max="7167" width="8.88671875" style="231"/>
    <col min="7168" max="7168" width="10.44140625" style="231" bestFit="1" customWidth="1"/>
    <col min="7169" max="7169" width="13.88671875" style="231" bestFit="1" customWidth="1"/>
    <col min="7170" max="7414" width="8.88671875" style="231"/>
    <col min="7415" max="7415" width="12.77734375" style="231" customWidth="1"/>
    <col min="7416" max="7416" width="15.77734375" style="231" customWidth="1"/>
    <col min="7417" max="7417" width="20.77734375" style="231" customWidth="1"/>
    <col min="7418" max="7422" width="15.77734375" style="231" customWidth="1"/>
    <col min="7423" max="7423" width="8.88671875" style="231"/>
    <col min="7424" max="7424" width="10.44140625" style="231" bestFit="1" customWidth="1"/>
    <col min="7425" max="7425" width="13.88671875" style="231" bestFit="1" customWidth="1"/>
    <col min="7426" max="7670" width="8.88671875" style="231"/>
    <col min="7671" max="7671" width="12.77734375" style="231" customWidth="1"/>
    <col min="7672" max="7672" width="15.77734375" style="231" customWidth="1"/>
    <col min="7673" max="7673" width="20.77734375" style="231" customWidth="1"/>
    <col min="7674" max="7678" width="15.77734375" style="231" customWidth="1"/>
    <col min="7679" max="7679" width="8.88671875" style="231"/>
    <col min="7680" max="7680" width="10.44140625" style="231" bestFit="1" customWidth="1"/>
    <col min="7681" max="7681" width="13.88671875" style="231" bestFit="1" customWidth="1"/>
    <col min="7682" max="7926" width="8.88671875" style="231"/>
    <col min="7927" max="7927" width="12.77734375" style="231" customWidth="1"/>
    <col min="7928" max="7928" width="15.77734375" style="231" customWidth="1"/>
    <col min="7929" max="7929" width="20.77734375" style="231" customWidth="1"/>
    <col min="7930" max="7934" width="15.77734375" style="231" customWidth="1"/>
    <col min="7935" max="7935" width="8.88671875" style="231"/>
    <col min="7936" max="7936" width="10.44140625" style="231" bestFit="1" customWidth="1"/>
    <col min="7937" max="7937" width="13.88671875" style="231" bestFit="1" customWidth="1"/>
    <col min="7938" max="8182" width="8.88671875" style="231"/>
    <col min="8183" max="8183" width="12.77734375" style="231" customWidth="1"/>
    <col min="8184" max="8184" width="15.77734375" style="231" customWidth="1"/>
    <col min="8185" max="8185" width="20.77734375" style="231" customWidth="1"/>
    <col min="8186" max="8190" width="15.77734375" style="231" customWidth="1"/>
    <col min="8191" max="8191" width="8.88671875" style="231"/>
    <col min="8192" max="8192" width="10.44140625" style="231" bestFit="1" customWidth="1"/>
    <col min="8193" max="8193" width="13.88671875" style="231" bestFit="1" customWidth="1"/>
    <col min="8194" max="8438" width="8.88671875" style="231"/>
    <col min="8439" max="8439" width="12.77734375" style="231" customWidth="1"/>
    <col min="8440" max="8440" width="15.77734375" style="231" customWidth="1"/>
    <col min="8441" max="8441" width="20.77734375" style="231" customWidth="1"/>
    <col min="8442" max="8446" width="15.77734375" style="231" customWidth="1"/>
    <col min="8447" max="8447" width="8.88671875" style="231"/>
    <col min="8448" max="8448" width="10.44140625" style="231" bestFit="1" customWidth="1"/>
    <col min="8449" max="8449" width="13.88671875" style="231" bestFit="1" customWidth="1"/>
    <col min="8450" max="8694" width="8.88671875" style="231"/>
    <col min="8695" max="8695" width="12.77734375" style="231" customWidth="1"/>
    <col min="8696" max="8696" width="15.77734375" style="231" customWidth="1"/>
    <col min="8697" max="8697" width="20.77734375" style="231" customWidth="1"/>
    <col min="8698" max="8702" width="15.77734375" style="231" customWidth="1"/>
    <col min="8703" max="8703" width="8.88671875" style="231"/>
    <col min="8704" max="8704" width="10.44140625" style="231" bestFit="1" customWidth="1"/>
    <col min="8705" max="8705" width="13.88671875" style="231" bestFit="1" customWidth="1"/>
    <col min="8706" max="8950" width="8.88671875" style="231"/>
    <col min="8951" max="8951" width="12.77734375" style="231" customWidth="1"/>
    <col min="8952" max="8952" width="15.77734375" style="231" customWidth="1"/>
    <col min="8953" max="8953" width="20.77734375" style="231" customWidth="1"/>
    <col min="8954" max="8958" width="15.77734375" style="231" customWidth="1"/>
    <col min="8959" max="8959" width="8.88671875" style="231"/>
    <col min="8960" max="8960" width="10.44140625" style="231" bestFit="1" customWidth="1"/>
    <col min="8961" max="8961" width="13.88671875" style="231" bestFit="1" customWidth="1"/>
    <col min="8962" max="9206" width="8.88671875" style="231"/>
    <col min="9207" max="9207" width="12.77734375" style="231" customWidth="1"/>
    <col min="9208" max="9208" width="15.77734375" style="231" customWidth="1"/>
    <col min="9209" max="9209" width="20.77734375" style="231" customWidth="1"/>
    <col min="9210" max="9214" width="15.77734375" style="231" customWidth="1"/>
    <col min="9215" max="9215" width="8.88671875" style="231"/>
    <col min="9216" max="9216" width="10.44140625" style="231" bestFit="1" customWidth="1"/>
    <col min="9217" max="9217" width="13.88671875" style="231" bestFit="1" customWidth="1"/>
    <col min="9218" max="9462" width="8.88671875" style="231"/>
    <col min="9463" max="9463" width="12.77734375" style="231" customWidth="1"/>
    <col min="9464" max="9464" width="15.77734375" style="231" customWidth="1"/>
    <col min="9465" max="9465" width="20.77734375" style="231" customWidth="1"/>
    <col min="9466" max="9470" width="15.77734375" style="231" customWidth="1"/>
    <col min="9471" max="9471" width="8.88671875" style="231"/>
    <col min="9472" max="9472" width="10.44140625" style="231" bestFit="1" customWidth="1"/>
    <col min="9473" max="9473" width="13.88671875" style="231" bestFit="1" customWidth="1"/>
    <col min="9474" max="9718" width="8.88671875" style="231"/>
    <col min="9719" max="9719" width="12.77734375" style="231" customWidth="1"/>
    <col min="9720" max="9720" width="15.77734375" style="231" customWidth="1"/>
    <col min="9721" max="9721" width="20.77734375" style="231" customWidth="1"/>
    <col min="9722" max="9726" width="15.77734375" style="231" customWidth="1"/>
    <col min="9727" max="9727" width="8.88671875" style="231"/>
    <col min="9728" max="9728" width="10.44140625" style="231" bestFit="1" customWidth="1"/>
    <col min="9729" max="9729" width="13.88671875" style="231" bestFit="1" customWidth="1"/>
    <col min="9730" max="9974" width="8.88671875" style="231"/>
    <col min="9975" max="9975" width="12.77734375" style="231" customWidth="1"/>
    <col min="9976" max="9976" width="15.77734375" style="231" customWidth="1"/>
    <col min="9977" max="9977" width="20.77734375" style="231" customWidth="1"/>
    <col min="9978" max="9982" width="15.77734375" style="231" customWidth="1"/>
    <col min="9983" max="9983" width="8.88671875" style="231"/>
    <col min="9984" max="9984" width="10.44140625" style="231" bestFit="1" customWidth="1"/>
    <col min="9985" max="9985" width="13.88671875" style="231" bestFit="1" customWidth="1"/>
    <col min="9986" max="10230" width="8.88671875" style="231"/>
    <col min="10231" max="10231" width="12.77734375" style="231" customWidth="1"/>
    <col min="10232" max="10232" width="15.77734375" style="231" customWidth="1"/>
    <col min="10233" max="10233" width="20.77734375" style="231" customWidth="1"/>
    <col min="10234" max="10238" width="15.77734375" style="231" customWidth="1"/>
    <col min="10239" max="10239" width="8.88671875" style="231"/>
    <col min="10240" max="10240" width="10.44140625" style="231" bestFit="1" customWidth="1"/>
    <col min="10241" max="10241" width="13.88671875" style="231" bestFit="1" customWidth="1"/>
    <col min="10242" max="10486" width="8.88671875" style="231"/>
    <col min="10487" max="10487" width="12.77734375" style="231" customWidth="1"/>
    <col min="10488" max="10488" width="15.77734375" style="231" customWidth="1"/>
    <col min="10489" max="10489" width="20.77734375" style="231" customWidth="1"/>
    <col min="10490" max="10494" width="15.77734375" style="231" customWidth="1"/>
    <col min="10495" max="10495" width="8.88671875" style="231"/>
    <col min="10496" max="10496" width="10.44140625" style="231" bestFit="1" customWidth="1"/>
    <col min="10497" max="10497" width="13.88671875" style="231" bestFit="1" customWidth="1"/>
    <col min="10498" max="10742" width="8.88671875" style="231"/>
    <col min="10743" max="10743" width="12.77734375" style="231" customWidth="1"/>
    <col min="10744" max="10744" width="15.77734375" style="231" customWidth="1"/>
    <col min="10745" max="10745" width="20.77734375" style="231" customWidth="1"/>
    <col min="10746" max="10750" width="15.77734375" style="231" customWidth="1"/>
    <col min="10751" max="10751" width="8.88671875" style="231"/>
    <col min="10752" max="10752" width="10.44140625" style="231" bestFit="1" customWidth="1"/>
    <col min="10753" max="10753" width="13.88671875" style="231" bestFit="1" customWidth="1"/>
    <col min="10754" max="10998" width="8.88671875" style="231"/>
    <col min="10999" max="10999" width="12.77734375" style="231" customWidth="1"/>
    <col min="11000" max="11000" width="15.77734375" style="231" customWidth="1"/>
    <col min="11001" max="11001" width="20.77734375" style="231" customWidth="1"/>
    <col min="11002" max="11006" width="15.77734375" style="231" customWidth="1"/>
    <col min="11007" max="11007" width="8.88671875" style="231"/>
    <col min="11008" max="11008" width="10.44140625" style="231" bestFit="1" customWidth="1"/>
    <col min="11009" max="11009" width="13.88671875" style="231" bestFit="1" customWidth="1"/>
    <col min="11010" max="11254" width="8.88671875" style="231"/>
    <col min="11255" max="11255" width="12.77734375" style="231" customWidth="1"/>
    <col min="11256" max="11256" width="15.77734375" style="231" customWidth="1"/>
    <col min="11257" max="11257" width="20.77734375" style="231" customWidth="1"/>
    <col min="11258" max="11262" width="15.77734375" style="231" customWidth="1"/>
    <col min="11263" max="11263" width="8.88671875" style="231"/>
    <col min="11264" max="11264" width="10.44140625" style="231" bestFit="1" customWidth="1"/>
    <col min="11265" max="11265" width="13.88671875" style="231" bestFit="1" customWidth="1"/>
    <col min="11266" max="11510" width="8.88671875" style="231"/>
    <col min="11511" max="11511" width="12.77734375" style="231" customWidth="1"/>
    <col min="11512" max="11512" width="15.77734375" style="231" customWidth="1"/>
    <col min="11513" max="11513" width="20.77734375" style="231" customWidth="1"/>
    <col min="11514" max="11518" width="15.77734375" style="231" customWidth="1"/>
    <col min="11519" max="11519" width="8.88671875" style="231"/>
    <col min="11520" max="11520" width="10.44140625" style="231" bestFit="1" customWidth="1"/>
    <col min="11521" max="11521" width="13.88671875" style="231" bestFit="1" customWidth="1"/>
    <col min="11522" max="11766" width="8.88671875" style="231"/>
    <col min="11767" max="11767" width="12.77734375" style="231" customWidth="1"/>
    <col min="11768" max="11768" width="15.77734375" style="231" customWidth="1"/>
    <col min="11769" max="11769" width="20.77734375" style="231" customWidth="1"/>
    <col min="11770" max="11774" width="15.77734375" style="231" customWidth="1"/>
    <col min="11775" max="11775" width="8.88671875" style="231"/>
    <col min="11776" max="11776" width="10.44140625" style="231" bestFit="1" customWidth="1"/>
    <col min="11777" max="11777" width="13.88671875" style="231" bestFit="1" customWidth="1"/>
    <col min="11778" max="12022" width="8.88671875" style="231"/>
    <col min="12023" max="12023" width="12.77734375" style="231" customWidth="1"/>
    <col min="12024" max="12024" width="15.77734375" style="231" customWidth="1"/>
    <col min="12025" max="12025" width="20.77734375" style="231" customWidth="1"/>
    <col min="12026" max="12030" width="15.77734375" style="231" customWidth="1"/>
    <col min="12031" max="12031" width="8.88671875" style="231"/>
    <col min="12032" max="12032" width="10.44140625" style="231" bestFit="1" customWidth="1"/>
    <col min="12033" max="12033" width="13.88671875" style="231" bestFit="1" customWidth="1"/>
    <col min="12034" max="12278" width="8.88671875" style="231"/>
    <col min="12279" max="12279" width="12.77734375" style="231" customWidth="1"/>
    <col min="12280" max="12280" width="15.77734375" style="231" customWidth="1"/>
    <col min="12281" max="12281" width="20.77734375" style="231" customWidth="1"/>
    <col min="12282" max="12286" width="15.77734375" style="231" customWidth="1"/>
    <col min="12287" max="12287" width="8.88671875" style="231"/>
    <col min="12288" max="12288" width="10.44140625" style="231" bestFit="1" customWidth="1"/>
    <col min="12289" max="12289" width="13.88671875" style="231" bestFit="1" customWidth="1"/>
    <col min="12290" max="12534" width="8.88671875" style="231"/>
    <col min="12535" max="12535" width="12.77734375" style="231" customWidth="1"/>
    <col min="12536" max="12536" width="15.77734375" style="231" customWidth="1"/>
    <col min="12537" max="12537" width="20.77734375" style="231" customWidth="1"/>
    <col min="12538" max="12542" width="15.77734375" style="231" customWidth="1"/>
    <col min="12543" max="12543" width="8.88671875" style="231"/>
    <col min="12544" max="12544" width="10.44140625" style="231" bestFit="1" customWidth="1"/>
    <col min="12545" max="12545" width="13.88671875" style="231" bestFit="1" customWidth="1"/>
    <col min="12546" max="12790" width="8.88671875" style="231"/>
    <col min="12791" max="12791" width="12.77734375" style="231" customWidth="1"/>
    <col min="12792" max="12792" width="15.77734375" style="231" customWidth="1"/>
    <col min="12793" max="12793" width="20.77734375" style="231" customWidth="1"/>
    <col min="12794" max="12798" width="15.77734375" style="231" customWidth="1"/>
    <col min="12799" max="12799" width="8.88671875" style="231"/>
    <col min="12800" max="12800" width="10.44140625" style="231" bestFit="1" customWidth="1"/>
    <col min="12801" max="12801" width="13.88671875" style="231" bestFit="1" customWidth="1"/>
    <col min="12802" max="13046" width="8.88671875" style="231"/>
    <col min="13047" max="13047" width="12.77734375" style="231" customWidth="1"/>
    <col min="13048" max="13048" width="15.77734375" style="231" customWidth="1"/>
    <col min="13049" max="13049" width="20.77734375" style="231" customWidth="1"/>
    <col min="13050" max="13054" width="15.77734375" style="231" customWidth="1"/>
    <col min="13055" max="13055" width="8.88671875" style="231"/>
    <col min="13056" max="13056" width="10.44140625" style="231" bestFit="1" customWidth="1"/>
    <col min="13057" max="13057" width="13.88671875" style="231" bestFit="1" customWidth="1"/>
    <col min="13058" max="13302" width="8.88671875" style="231"/>
    <col min="13303" max="13303" width="12.77734375" style="231" customWidth="1"/>
    <col min="13304" max="13304" width="15.77734375" style="231" customWidth="1"/>
    <col min="13305" max="13305" width="20.77734375" style="231" customWidth="1"/>
    <col min="13306" max="13310" width="15.77734375" style="231" customWidth="1"/>
    <col min="13311" max="13311" width="8.88671875" style="231"/>
    <col min="13312" max="13312" width="10.44140625" style="231" bestFit="1" customWidth="1"/>
    <col min="13313" max="13313" width="13.88671875" style="231" bestFit="1" customWidth="1"/>
    <col min="13314" max="13558" width="8.88671875" style="231"/>
    <col min="13559" max="13559" width="12.77734375" style="231" customWidth="1"/>
    <col min="13560" max="13560" width="15.77734375" style="231" customWidth="1"/>
    <col min="13561" max="13561" width="20.77734375" style="231" customWidth="1"/>
    <col min="13562" max="13566" width="15.77734375" style="231" customWidth="1"/>
    <col min="13567" max="13567" width="8.88671875" style="231"/>
    <col min="13568" max="13568" width="10.44140625" style="231" bestFit="1" customWidth="1"/>
    <col min="13569" max="13569" width="13.88671875" style="231" bestFit="1" customWidth="1"/>
    <col min="13570" max="13814" width="8.88671875" style="231"/>
    <col min="13815" max="13815" width="12.77734375" style="231" customWidth="1"/>
    <col min="13816" max="13816" width="15.77734375" style="231" customWidth="1"/>
    <col min="13817" max="13817" width="20.77734375" style="231" customWidth="1"/>
    <col min="13818" max="13822" width="15.77734375" style="231" customWidth="1"/>
    <col min="13823" max="13823" width="8.88671875" style="231"/>
    <col min="13824" max="13824" width="10.44140625" style="231" bestFit="1" customWidth="1"/>
    <col min="13825" max="13825" width="13.88671875" style="231" bestFit="1" customWidth="1"/>
    <col min="13826" max="14070" width="8.88671875" style="231"/>
    <col min="14071" max="14071" width="12.77734375" style="231" customWidth="1"/>
    <col min="14072" max="14072" width="15.77734375" style="231" customWidth="1"/>
    <col min="14073" max="14073" width="20.77734375" style="231" customWidth="1"/>
    <col min="14074" max="14078" width="15.77734375" style="231" customWidth="1"/>
    <col min="14079" max="14079" width="8.88671875" style="231"/>
    <col min="14080" max="14080" width="10.44140625" style="231" bestFit="1" customWidth="1"/>
    <col min="14081" max="14081" width="13.88671875" style="231" bestFit="1" customWidth="1"/>
    <col min="14082" max="14326" width="8.88671875" style="231"/>
    <col min="14327" max="14327" width="12.77734375" style="231" customWidth="1"/>
    <col min="14328" max="14328" width="15.77734375" style="231" customWidth="1"/>
    <col min="14329" max="14329" width="20.77734375" style="231" customWidth="1"/>
    <col min="14330" max="14334" width="15.77734375" style="231" customWidth="1"/>
    <col min="14335" max="14335" width="8.88671875" style="231"/>
    <col min="14336" max="14336" width="10.44140625" style="231" bestFit="1" customWidth="1"/>
    <col min="14337" max="14337" width="13.88671875" style="231" bestFit="1" customWidth="1"/>
    <col min="14338" max="14582" width="8.88671875" style="231"/>
    <col min="14583" max="14583" width="12.77734375" style="231" customWidth="1"/>
    <col min="14584" max="14584" width="15.77734375" style="231" customWidth="1"/>
    <col min="14585" max="14585" width="20.77734375" style="231" customWidth="1"/>
    <col min="14586" max="14590" width="15.77734375" style="231" customWidth="1"/>
    <col min="14591" max="14591" width="8.88671875" style="231"/>
    <col min="14592" max="14592" width="10.44140625" style="231" bestFit="1" customWidth="1"/>
    <col min="14593" max="14593" width="13.88671875" style="231" bestFit="1" customWidth="1"/>
    <col min="14594" max="14838" width="8.88671875" style="231"/>
    <col min="14839" max="14839" width="12.77734375" style="231" customWidth="1"/>
    <col min="14840" max="14840" width="15.77734375" style="231" customWidth="1"/>
    <col min="14841" max="14841" width="20.77734375" style="231" customWidth="1"/>
    <col min="14842" max="14846" width="15.77734375" style="231" customWidth="1"/>
    <col min="14847" max="14847" width="8.88671875" style="231"/>
    <col min="14848" max="14848" width="10.44140625" style="231" bestFit="1" customWidth="1"/>
    <col min="14849" max="14849" width="13.88671875" style="231" bestFit="1" customWidth="1"/>
    <col min="14850" max="15094" width="8.88671875" style="231"/>
    <col min="15095" max="15095" width="12.77734375" style="231" customWidth="1"/>
    <col min="15096" max="15096" width="15.77734375" style="231" customWidth="1"/>
    <col min="15097" max="15097" width="20.77734375" style="231" customWidth="1"/>
    <col min="15098" max="15102" width="15.77734375" style="231" customWidth="1"/>
    <col min="15103" max="15103" width="8.88671875" style="231"/>
    <col min="15104" max="15104" width="10.44140625" style="231" bestFit="1" customWidth="1"/>
    <col min="15105" max="15105" width="13.88671875" style="231" bestFit="1" customWidth="1"/>
    <col min="15106" max="15350" width="8.88671875" style="231"/>
    <col min="15351" max="15351" width="12.77734375" style="231" customWidth="1"/>
    <col min="15352" max="15352" width="15.77734375" style="231" customWidth="1"/>
    <col min="15353" max="15353" width="20.77734375" style="231" customWidth="1"/>
    <col min="15354" max="15358" width="15.77734375" style="231" customWidth="1"/>
    <col min="15359" max="15359" width="8.88671875" style="231"/>
    <col min="15360" max="15360" width="10.44140625" style="231" bestFit="1" customWidth="1"/>
    <col min="15361" max="15361" width="13.88671875" style="231" bestFit="1" customWidth="1"/>
    <col min="15362" max="15606" width="8.88671875" style="231"/>
    <col min="15607" max="15607" width="12.77734375" style="231" customWidth="1"/>
    <col min="15608" max="15608" width="15.77734375" style="231" customWidth="1"/>
    <col min="15609" max="15609" width="20.77734375" style="231" customWidth="1"/>
    <col min="15610" max="15614" width="15.77734375" style="231" customWidth="1"/>
    <col min="15615" max="15615" width="8.88671875" style="231"/>
    <col min="15616" max="15616" width="10.44140625" style="231" bestFit="1" customWidth="1"/>
    <col min="15617" max="15617" width="13.88671875" style="231" bestFit="1" customWidth="1"/>
    <col min="15618" max="15862" width="8.88671875" style="231"/>
    <col min="15863" max="15863" width="12.77734375" style="231" customWidth="1"/>
    <col min="15864" max="15864" width="15.77734375" style="231" customWidth="1"/>
    <col min="15865" max="15865" width="20.77734375" style="231" customWidth="1"/>
    <col min="15866" max="15870" width="15.77734375" style="231" customWidth="1"/>
    <col min="15871" max="15871" width="8.88671875" style="231"/>
    <col min="15872" max="15872" width="10.44140625" style="231" bestFit="1" customWidth="1"/>
    <col min="15873" max="15873" width="13.88671875" style="231" bestFit="1" customWidth="1"/>
    <col min="15874" max="16118" width="8.88671875" style="231"/>
    <col min="16119" max="16119" width="12.77734375" style="231" customWidth="1"/>
    <col min="16120" max="16120" width="15.77734375" style="231" customWidth="1"/>
    <col min="16121" max="16121" width="20.77734375" style="231" customWidth="1"/>
    <col min="16122" max="16126" width="15.77734375" style="231" customWidth="1"/>
    <col min="16127" max="16127" width="8.88671875" style="231"/>
    <col min="16128" max="16128" width="10.44140625" style="231" bestFit="1" customWidth="1"/>
    <col min="16129" max="16129" width="13.88671875" style="231" bestFit="1" customWidth="1"/>
    <col min="16130" max="16384" width="8.88671875" style="231"/>
  </cols>
  <sheetData>
    <row r="1" spans="1:7" ht="39.950000000000003" customHeight="1">
      <c r="A1" s="228" t="s">
        <v>202</v>
      </c>
      <c r="B1" s="228"/>
      <c r="C1" s="229"/>
      <c r="D1" s="230"/>
      <c r="E1" s="230"/>
      <c r="F1" s="230"/>
      <c r="G1" s="230"/>
    </row>
    <row r="2" spans="1:7" ht="17.25" customHeight="1">
      <c r="A2" s="228"/>
      <c r="B2" s="228"/>
      <c r="C2" s="229"/>
      <c r="D2" s="230"/>
      <c r="E2" s="230"/>
      <c r="F2" s="230"/>
      <c r="G2" s="230"/>
    </row>
    <row r="3" spans="1:7" ht="39.950000000000003" customHeight="1">
      <c r="A3" s="409" t="s">
        <v>232</v>
      </c>
      <c r="B3" s="409"/>
      <c r="C3" s="409"/>
      <c r="D3" s="409"/>
      <c r="E3" s="409"/>
      <c r="F3" s="409"/>
      <c r="G3" s="409"/>
    </row>
    <row r="4" spans="1:7" ht="39.950000000000003" customHeight="1">
      <c r="A4" s="255" t="s">
        <v>488</v>
      </c>
      <c r="B4" s="228"/>
      <c r="C4" s="229"/>
      <c r="D4" s="256"/>
      <c r="E4" s="256"/>
      <c r="F4" s="256"/>
      <c r="G4" s="257" t="s">
        <v>203</v>
      </c>
    </row>
    <row r="5" spans="1:7" s="232" customFormat="1" ht="39.950000000000003" customHeight="1">
      <c r="A5" s="249" t="s">
        <v>204</v>
      </c>
      <c r="B5" s="249" t="s">
        <v>205</v>
      </c>
      <c r="C5" s="250" t="s">
        <v>206</v>
      </c>
      <c r="D5" s="251" t="s">
        <v>207</v>
      </c>
      <c r="E5" s="251" t="s">
        <v>208</v>
      </c>
      <c r="F5" s="251" t="s">
        <v>8</v>
      </c>
      <c r="G5" s="251" t="s">
        <v>209</v>
      </c>
    </row>
    <row r="6" spans="1:7" s="232" customFormat="1" ht="39.950000000000003" customHeight="1">
      <c r="A6" s="387" t="s">
        <v>210</v>
      </c>
      <c r="B6" s="233" t="s">
        <v>211</v>
      </c>
      <c r="C6" s="234" t="s">
        <v>212</v>
      </c>
      <c r="D6" s="404">
        <f t="shared" ref="D6:D11" si="0">SUM(E6:G6)</f>
        <v>15179321</v>
      </c>
      <c r="E6" s="404">
        <f>공종별현황표!F19</f>
        <v>15179321</v>
      </c>
      <c r="F6" s="404"/>
      <c r="G6" s="404"/>
    </row>
    <row r="7" spans="1:7" s="232" customFormat="1" ht="39.950000000000003" customHeight="1">
      <c r="A7" s="388"/>
      <c r="B7" s="235"/>
      <c r="C7" s="234" t="s">
        <v>213</v>
      </c>
      <c r="D7" s="404">
        <f t="shared" si="0"/>
        <v>110378902</v>
      </c>
      <c r="E7" s="404">
        <f>공종별현황표!F43</f>
        <v>110378902</v>
      </c>
      <c r="F7" s="404"/>
      <c r="G7" s="404"/>
    </row>
    <row r="8" spans="1:7" s="232" customFormat="1" ht="39.950000000000003" customHeight="1">
      <c r="A8" s="388"/>
      <c r="B8" s="235"/>
      <c r="C8" s="234" t="s">
        <v>214</v>
      </c>
      <c r="D8" s="404">
        <f t="shared" si="0"/>
        <v>22413494</v>
      </c>
      <c r="E8" s="404">
        <f>공종별현황표!F53</f>
        <v>22413494</v>
      </c>
      <c r="F8" s="404"/>
      <c r="G8" s="404"/>
    </row>
    <row r="9" spans="1:7" s="232" customFormat="1" ht="39.950000000000003" customHeight="1">
      <c r="A9" s="389"/>
      <c r="B9" s="236"/>
      <c r="C9" s="234" t="s">
        <v>215</v>
      </c>
      <c r="D9" s="404">
        <f t="shared" si="0"/>
        <v>6825362</v>
      </c>
      <c r="E9" s="404"/>
      <c r="F9" s="404"/>
      <c r="G9" s="404">
        <f>공종별현황표!H54</f>
        <v>6825362</v>
      </c>
    </row>
    <row r="10" spans="1:7" s="232" customFormat="1" ht="39.950000000000003" customHeight="1">
      <c r="A10" s="389"/>
      <c r="B10" s="236"/>
      <c r="C10" s="234" t="s">
        <v>216</v>
      </c>
      <c r="D10" s="404">
        <f t="shared" si="0"/>
        <v>2257346</v>
      </c>
      <c r="E10" s="404"/>
      <c r="F10" s="404"/>
      <c r="G10" s="404">
        <f>공종별현황표!H55</f>
        <v>2257346</v>
      </c>
    </row>
    <row r="11" spans="1:7" s="232" customFormat="1" ht="39.950000000000003" customHeight="1">
      <c r="A11" s="389"/>
      <c r="B11" s="236"/>
      <c r="C11" s="234" t="s">
        <v>217</v>
      </c>
      <c r="D11" s="404">
        <f t="shared" si="0"/>
        <v>2630608</v>
      </c>
      <c r="E11" s="404"/>
      <c r="F11" s="404"/>
      <c r="G11" s="404">
        <f>공종별현황표!H56</f>
        <v>2630608</v>
      </c>
    </row>
    <row r="12" spans="1:7" s="232" customFormat="1" ht="39.950000000000003" customHeight="1">
      <c r="A12" s="389"/>
      <c r="B12" s="237"/>
      <c r="C12" s="238" t="s">
        <v>218</v>
      </c>
      <c r="D12" s="404">
        <f t="shared" ref="D12:G12" si="1">SUM(D6:D11)</f>
        <v>159685033</v>
      </c>
      <c r="E12" s="404">
        <f t="shared" si="1"/>
        <v>147971717</v>
      </c>
      <c r="F12" s="404"/>
      <c r="G12" s="404">
        <f t="shared" si="1"/>
        <v>11713316</v>
      </c>
    </row>
    <row r="13" spans="1:7" s="232" customFormat="1" ht="39.950000000000003" customHeight="1">
      <c r="A13" s="389"/>
      <c r="B13" s="239" t="s">
        <v>219</v>
      </c>
      <c r="C13" s="240"/>
      <c r="D13" s="404">
        <f>SUM(E13:G13)</f>
        <v>11073439</v>
      </c>
      <c r="E13" s="405">
        <f>공종별현황표!F58</f>
        <v>7197735</v>
      </c>
      <c r="F13" s="405"/>
      <c r="G13" s="405">
        <f>공종별현황표!H58</f>
        <v>3875704</v>
      </c>
    </row>
    <row r="14" spans="1:7" s="232" customFormat="1" ht="39.950000000000003" customHeight="1">
      <c r="A14" s="389"/>
      <c r="B14" s="239" t="s">
        <v>220</v>
      </c>
      <c r="C14" s="240"/>
      <c r="D14" s="404">
        <f>SUM(E14:G14)</f>
        <v>6985332</v>
      </c>
      <c r="E14" s="405">
        <f>공종별현황표!F59</f>
        <v>4540466</v>
      </c>
      <c r="F14" s="405"/>
      <c r="G14" s="405">
        <f>공종별현황표!H59</f>
        <v>2444866</v>
      </c>
    </row>
    <row r="15" spans="1:7" s="232" customFormat="1" ht="39.950000000000003" customHeight="1">
      <c r="A15" s="390" t="s">
        <v>221</v>
      </c>
      <c r="B15" s="391"/>
      <c r="C15" s="392"/>
      <c r="D15" s="406">
        <f>SUM(D12:D14)</f>
        <v>177743804</v>
      </c>
      <c r="E15" s="406">
        <f>SUM(E12:E14)</f>
        <v>159709918</v>
      </c>
      <c r="F15" s="406">
        <f>SUM(F12:F14)</f>
        <v>0</v>
      </c>
      <c r="G15" s="406">
        <f>SUM(G12:G14)</f>
        <v>18033886</v>
      </c>
    </row>
    <row r="16" spans="1:7" s="232" customFormat="1" ht="39.950000000000003" customHeight="1">
      <c r="A16" s="387" t="s">
        <v>222</v>
      </c>
      <c r="B16" s="239" t="s">
        <v>223</v>
      </c>
      <c r="C16" s="240"/>
      <c r="D16" s="404">
        <v>1820600</v>
      </c>
      <c r="E16" s="404"/>
      <c r="F16" s="405">
        <f>D16</f>
        <v>1820600</v>
      </c>
      <c r="G16" s="404"/>
    </row>
    <row r="17" spans="1:7" s="232" customFormat="1" ht="39.950000000000003" customHeight="1">
      <c r="A17" s="388"/>
      <c r="B17" s="239" t="s">
        <v>224</v>
      </c>
      <c r="C17" s="240"/>
      <c r="D17" s="404">
        <v>5145675</v>
      </c>
      <c r="E17" s="404"/>
      <c r="F17" s="405">
        <f t="shared" ref="F17:F21" si="2">D17</f>
        <v>5145675</v>
      </c>
      <c r="G17" s="404"/>
    </row>
    <row r="18" spans="1:7" s="232" customFormat="1" ht="39.950000000000003" customHeight="1">
      <c r="A18" s="388"/>
      <c r="B18" s="239" t="s">
        <v>225</v>
      </c>
      <c r="C18" s="240"/>
      <c r="D18" s="404">
        <f>6956120+24288434+5723024</f>
        <v>36967578</v>
      </c>
      <c r="E18" s="404"/>
      <c r="F18" s="405">
        <f t="shared" si="2"/>
        <v>36967578</v>
      </c>
      <c r="G18" s="404"/>
    </row>
    <row r="19" spans="1:7" s="232" customFormat="1" ht="39.950000000000003" customHeight="1">
      <c r="A19" s="389"/>
      <c r="B19" s="239" t="s">
        <v>226</v>
      </c>
      <c r="C19" s="240"/>
      <c r="D19" s="404">
        <v>7789112</v>
      </c>
      <c r="E19" s="404"/>
      <c r="F19" s="405">
        <f t="shared" si="2"/>
        <v>7789112</v>
      </c>
      <c r="G19" s="404"/>
    </row>
    <row r="20" spans="1:7" s="232" customFormat="1" ht="39.950000000000003" customHeight="1">
      <c r="A20" s="389"/>
      <c r="B20" s="239" t="s">
        <v>227</v>
      </c>
      <c r="C20" s="240"/>
      <c r="D20" s="404">
        <v>0</v>
      </c>
      <c r="E20" s="404"/>
      <c r="F20" s="405">
        <f t="shared" si="2"/>
        <v>0</v>
      </c>
      <c r="G20" s="405"/>
    </row>
    <row r="21" spans="1:7" s="232" customFormat="1" ht="39.950000000000003" customHeight="1">
      <c r="A21" s="389"/>
      <c r="B21" s="239" t="s">
        <v>201</v>
      </c>
      <c r="C21" s="240"/>
      <c r="D21" s="404">
        <f>553511154-SUM(D15,D16,D17,D18,D19,D20,D23,D24)</f>
        <v>148695409</v>
      </c>
      <c r="E21" s="404"/>
      <c r="F21" s="405">
        <f t="shared" si="2"/>
        <v>148695409</v>
      </c>
      <c r="G21" s="405"/>
    </row>
    <row r="22" spans="1:7" s="232" customFormat="1" ht="39.950000000000003" customHeight="1">
      <c r="A22" s="390" t="s">
        <v>228</v>
      </c>
      <c r="B22" s="391"/>
      <c r="C22" s="392"/>
      <c r="D22" s="406">
        <f>SUM(D16:D21)</f>
        <v>200418374</v>
      </c>
      <c r="E22" s="406">
        <f>SUM(E16:E21)</f>
        <v>0</v>
      </c>
      <c r="F22" s="406">
        <f>SUM(F16:F21)</f>
        <v>200418374</v>
      </c>
      <c r="G22" s="406">
        <f>SUM(G16:G21)</f>
        <v>0</v>
      </c>
    </row>
    <row r="23" spans="1:7" s="232" customFormat="1" ht="39.950000000000003" customHeight="1">
      <c r="A23" s="391" t="s">
        <v>229</v>
      </c>
      <c r="B23" s="391"/>
      <c r="C23" s="392"/>
      <c r="D23" s="406">
        <v>169137067</v>
      </c>
      <c r="E23" s="406"/>
      <c r="F23" s="406">
        <f>D23</f>
        <v>169137067</v>
      </c>
      <c r="G23" s="406"/>
    </row>
    <row r="24" spans="1:7" s="232" customFormat="1" ht="39.950000000000003" customHeight="1" thickBot="1">
      <c r="A24" s="393" t="s">
        <v>230</v>
      </c>
      <c r="B24" s="393"/>
      <c r="C24" s="395"/>
      <c r="D24" s="406">
        <f>183955713-D15</f>
        <v>6211909</v>
      </c>
      <c r="E24" s="406"/>
      <c r="F24" s="406">
        <f>D24</f>
        <v>6211909</v>
      </c>
      <c r="G24" s="407"/>
    </row>
    <row r="25" spans="1:7" s="232" customFormat="1" ht="39.950000000000003" customHeight="1" thickTop="1">
      <c r="A25" s="394" t="s">
        <v>231</v>
      </c>
      <c r="B25" s="394"/>
      <c r="C25" s="396"/>
      <c r="D25" s="408">
        <f>D15+D22+D23+D24</f>
        <v>553511154</v>
      </c>
      <c r="E25" s="408">
        <f>E15+E22+E23+E24</f>
        <v>159709918</v>
      </c>
      <c r="F25" s="408">
        <f>F15+F22+F23+F24</f>
        <v>375767350</v>
      </c>
      <c r="G25" s="408">
        <f>G15+G22+G23+G24</f>
        <v>18033886</v>
      </c>
    </row>
    <row r="26" spans="1:7" s="254" customFormat="1" ht="20.100000000000001" customHeight="1">
      <c r="A26" s="397" t="s">
        <v>234</v>
      </c>
      <c r="B26" s="397"/>
      <c r="C26" s="398"/>
      <c r="D26" s="399"/>
      <c r="E26" s="400"/>
      <c r="F26" s="400"/>
      <c r="G26" s="400"/>
    </row>
    <row r="27" spans="1:7" s="254" customFormat="1" ht="20.100000000000001" customHeight="1">
      <c r="A27" s="397" t="s">
        <v>235</v>
      </c>
      <c r="B27" s="397"/>
      <c r="C27" s="398"/>
      <c r="D27" s="399"/>
      <c r="E27" s="400"/>
      <c r="F27" s="400"/>
      <c r="G27" s="400"/>
    </row>
    <row r="28" spans="1:7" s="254" customFormat="1" ht="20.100000000000001" customHeight="1">
      <c r="A28" s="397" t="s">
        <v>236</v>
      </c>
      <c r="B28" s="397"/>
      <c r="C28" s="398"/>
      <c r="D28" s="399"/>
      <c r="E28" s="400"/>
      <c r="F28" s="400"/>
      <c r="G28" s="400"/>
    </row>
    <row r="29" spans="1:7" s="254" customFormat="1" ht="20.100000000000001" customHeight="1">
      <c r="A29" s="397" t="s">
        <v>440</v>
      </c>
      <c r="B29" s="397"/>
      <c r="C29" s="398"/>
      <c r="D29" s="399"/>
      <c r="E29" s="400"/>
      <c r="F29" s="400"/>
      <c r="G29" s="400"/>
    </row>
    <row r="30" spans="1:7" s="254" customFormat="1" ht="20.100000000000001" customHeight="1">
      <c r="A30" s="397" t="s">
        <v>439</v>
      </c>
      <c r="B30" s="397"/>
      <c r="C30" s="398"/>
      <c r="D30" s="399"/>
      <c r="E30" s="400"/>
      <c r="F30" s="400"/>
      <c r="G30" s="400"/>
    </row>
    <row r="31" spans="1:7" s="254" customFormat="1" ht="20.100000000000001" customHeight="1">
      <c r="A31" s="397" t="s">
        <v>34</v>
      </c>
      <c r="B31" s="397"/>
      <c r="C31" s="398"/>
      <c r="D31" s="399"/>
      <c r="E31" s="400"/>
      <c r="F31" s="400"/>
      <c r="G31" s="400"/>
    </row>
    <row r="32" spans="1:7" s="254" customFormat="1" ht="20.100000000000001" customHeight="1">
      <c r="A32" s="397" t="s">
        <v>33</v>
      </c>
      <c r="B32" s="397"/>
      <c r="C32" s="398"/>
      <c r="D32" s="399"/>
      <c r="E32" s="400"/>
      <c r="F32" s="400"/>
      <c r="G32" s="400"/>
    </row>
    <row r="33" spans="1:7" s="254" customFormat="1" ht="20.100000000000001" customHeight="1">
      <c r="A33" s="397" t="s">
        <v>441</v>
      </c>
      <c r="B33" s="397"/>
      <c r="C33" s="398"/>
      <c r="D33" s="399"/>
      <c r="E33" s="400"/>
      <c r="F33" s="400"/>
      <c r="G33" s="400"/>
    </row>
    <row r="34" spans="1:7" s="254" customFormat="1" ht="20.100000000000001" customHeight="1">
      <c r="A34" s="397" t="s">
        <v>32</v>
      </c>
      <c r="B34" s="397"/>
      <c r="C34" s="398"/>
      <c r="D34" s="399"/>
      <c r="E34" s="400"/>
      <c r="F34" s="400"/>
      <c r="G34" s="400"/>
    </row>
    <row r="35" spans="1:7" ht="20.100000000000001" customHeight="1">
      <c r="A35" s="397" t="s">
        <v>438</v>
      </c>
      <c r="B35" s="401"/>
      <c r="C35" s="402"/>
      <c r="D35" s="403"/>
      <c r="E35" s="403"/>
      <c r="F35" s="403"/>
      <c r="G35" s="403"/>
    </row>
  </sheetData>
  <mergeCells count="1">
    <mergeCell ref="A3:G3"/>
  </mergeCells>
  <phoneticPr fontId="4" type="noConversion"/>
  <printOptions horizontalCentered="1"/>
  <pageMargins left="0.27559055118110237" right="0.27559055118110237" top="0.55118110236220474" bottom="0.55118110236220474" header="0.31496062992125984" footer="0.31496062992125984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N39"/>
  <sheetViews>
    <sheetView view="pageBreakPreview" topLeftCell="A13" zoomScale="115" zoomScaleNormal="115" zoomScaleSheetLayoutView="115" workbookViewId="0">
      <selection activeCell="D22" sqref="D22"/>
    </sheetView>
  </sheetViews>
  <sheetFormatPr defaultRowHeight="13.5"/>
  <cols>
    <col min="1" max="1" width="9.88671875" style="62" customWidth="1"/>
    <col min="2" max="2" width="5.21875" style="62" customWidth="1"/>
    <col min="3" max="3" width="5.6640625" style="62" customWidth="1"/>
    <col min="4" max="4" width="7.33203125" style="62" customWidth="1"/>
    <col min="5" max="5" width="7.44140625" style="62" customWidth="1"/>
    <col min="6" max="6" width="8.109375" style="62" bestFit="1" customWidth="1"/>
    <col min="7" max="7" width="12.44140625" style="62" hidden="1" customWidth="1"/>
    <col min="8" max="8" width="12.44140625" style="62" customWidth="1"/>
    <col min="9" max="9" width="13.77734375" style="62" customWidth="1"/>
    <col min="10" max="10" width="14.5546875" style="62" customWidth="1"/>
    <col min="11" max="11" width="3.77734375" style="62" customWidth="1"/>
    <col min="12" max="12" width="8.109375" style="62" customWidth="1"/>
    <col min="13" max="13" width="9.21875" style="63" bestFit="1" customWidth="1"/>
    <col min="14" max="14" width="9" style="62" bestFit="1" customWidth="1"/>
    <col min="15" max="16384" width="8.88671875" style="62"/>
  </cols>
  <sheetData>
    <row r="1" spans="1:14" ht="55.5" customHeight="1" thickBot="1">
      <c r="A1" s="416" t="s">
        <v>39</v>
      </c>
      <c r="B1" s="416"/>
      <c r="C1" s="416"/>
      <c r="D1" s="416"/>
      <c r="E1" s="416"/>
      <c r="F1" s="416"/>
      <c r="G1" s="416"/>
      <c r="H1" s="416"/>
      <c r="I1" s="416"/>
      <c r="J1" s="416"/>
      <c r="K1" s="61"/>
    </row>
    <row r="2" spans="1:14" ht="38.1" customHeight="1" thickBot="1">
      <c r="A2" s="417" t="s">
        <v>40</v>
      </c>
      <c r="B2" s="418"/>
      <c r="C2" s="419"/>
      <c r="D2" s="420" t="s">
        <v>95</v>
      </c>
      <c r="E2" s="421"/>
      <c r="F2" s="421"/>
      <c r="G2" s="421"/>
      <c r="H2" s="421"/>
      <c r="I2" s="421"/>
      <c r="J2" s="422"/>
      <c r="K2" s="64"/>
    </row>
    <row r="3" spans="1:14" ht="7.5" customHeight="1" thickBot="1">
      <c r="A3" s="65"/>
      <c r="B3" s="65"/>
      <c r="C3" s="66"/>
      <c r="D3" s="66"/>
      <c r="E3" s="67"/>
      <c r="F3" s="67"/>
      <c r="G3" s="67"/>
      <c r="H3" s="67"/>
      <c r="I3" s="67"/>
      <c r="J3" s="67"/>
      <c r="K3" s="64"/>
    </row>
    <row r="4" spans="1:14" ht="43.5" customHeight="1" thickBot="1">
      <c r="A4" s="423" t="s">
        <v>41</v>
      </c>
      <c r="B4" s="424"/>
      <c r="C4" s="425"/>
      <c r="D4" s="426" t="s">
        <v>96</v>
      </c>
      <c r="E4" s="427"/>
      <c r="F4" s="427"/>
      <c r="G4" s="427"/>
      <c r="H4" s="427"/>
      <c r="I4" s="427"/>
      <c r="J4" s="428"/>
      <c r="K4" s="68"/>
    </row>
    <row r="5" spans="1:14" ht="44.25" customHeight="1" thickTop="1" thickBot="1">
      <c r="A5" s="410" t="s">
        <v>42</v>
      </c>
      <c r="B5" s="411"/>
      <c r="C5" s="412"/>
      <c r="D5" s="413" t="s">
        <v>43</v>
      </c>
      <c r="E5" s="414"/>
      <c r="F5" s="414"/>
      <c r="G5" s="414"/>
      <c r="H5" s="414"/>
      <c r="I5" s="414"/>
      <c r="J5" s="415"/>
      <c r="K5" s="69"/>
    </row>
    <row r="6" spans="1:14" ht="38.1" customHeight="1" thickTop="1">
      <c r="A6" s="437" t="s">
        <v>44</v>
      </c>
      <c r="B6" s="438"/>
      <c r="C6" s="439"/>
      <c r="D6" s="440" t="s">
        <v>45</v>
      </c>
      <c r="E6" s="438"/>
      <c r="F6" s="438"/>
      <c r="G6" s="438"/>
      <c r="H6" s="439"/>
      <c r="I6" s="70" t="s">
        <v>46</v>
      </c>
      <c r="J6" s="71" t="s">
        <v>47</v>
      </c>
      <c r="K6" s="72"/>
      <c r="N6" s="73">
        <v>2012.02</v>
      </c>
    </row>
    <row r="7" spans="1:14" ht="24.95" customHeight="1">
      <c r="A7" s="441" t="s">
        <v>48</v>
      </c>
      <c r="B7" s="442"/>
      <c r="C7" s="443"/>
      <c r="D7" s="444" t="s">
        <v>49</v>
      </c>
      <c r="E7" s="445"/>
      <c r="F7" s="445"/>
      <c r="G7" s="445"/>
      <c r="H7" s="446"/>
      <c r="I7" s="74">
        <f>SUM(I8:I10)</f>
        <v>132920634</v>
      </c>
      <c r="J7" s="447" t="s">
        <v>50</v>
      </c>
      <c r="K7" s="72"/>
      <c r="L7" s="429" t="s">
        <v>51</v>
      </c>
      <c r="M7" s="430"/>
      <c r="N7" s="75"/>
    </row>
    <row r="8" spans="1:14" ht="24.95" customHeight="1">
      <c r="A8" s="431" t="s">
        <v>52</v>
      </c>
      <c r="B8" s="433" t="s">
        <v>53</v>
      </c>
      <c r="C8" s="434"/>
      <c r="D8" s="76">
        <v>1</v>
      </c>
      <c r="E8" s="77">
        <v>21</v>
      </c>
      <c r="F8" s="78">
        <v>1</v>
      </c>
      <c r="G8" s="79" t="e">
        <v>#REF!</v>
      </c>
      <c r="H8" s="79">
        <f>M8*N8</f>
        <v>6329554</v>
      </c>
      <c r="I8" s="80">
        <f>D8*E8*F8*H8</f>
        <v>132920634</v>
      </c>
      <c r="J8" s="447"/>
      <c r="K8" s="81"/>
      <c r="L8" s="82" t="s">
        <v>54</v>
      </c>
      <c r="M8" s="83">
        <v>287707</v>
      </c>
      <c r="N8" s="84">
        <v>22</v>
      </c>
    </row>
    <row r="9" spans="1:14" ht="24.95" customHeight="1">
      <c r="A9" s="432"/>
      <c r="B9" s="433" t="s">
        <v>55</v>
      </c>
      <c r="C9" s="434"/>
      <c r="D9" s="76">
        <v>0</v>
      </c>
      <c r="E9" s="77">
        <v>21</v>
      </c>
      <c r="F9" s="78">
        <v>0.5</v>
      </c>
      <c r="G9" s="79" t="e">
        <v>#REF!</v>
      </c>
      <c r="H9" s="79">
        <f>M9*N9</f>
        <v>4290814</v>
      </c>
      <c r="I9" s="80">
        <f>D9*E9*F9*H9</f>
        <v>0</v>
      </c>
      <c r="J9" s="447"/>
      <c r="K9" s="81"/>
      <c r="L9" s="82" t="s">
        <v>55</v>
      </c>
      <c r="M9" s="85">
        <v>195037</v>
      </c>
      <c r="N9" s="84">
        <v>22</v>
      </c>
    </row>
    <row r="10" spans="1:14" ht="30" customHeight="1">
      <c r="A10" s="86" t="s">
        <v>56</v>
      </c>
      <c r="B10" s="435" t="s">
        <v>53</v>
      </c>
      <c r="C10" s="436"/>
      <c r="D10" s="449" t="s">
        <v>57</v>
      </c>
      <c r="E10" s="450"/>
      <c r="F10" s="450"/>
      <c r="G10" s="450"/>
      <c r="H10" s="451"/>
      <c r="I10" s="80"/>
      <c r="J10" s="448"/>
      <c r="K10" s="81"/>
      <c r="L10" s="87" t="s">
        <v>58</v>
      </c>
    </row>
    <row r="11" spans="1:14" ht="24.95" customHeight="1">
      <c r="A11" s="452" t="s">
        <v>59</v>
      </c>
      <c r="B11" s="453"/>
      <c r="C11" s="454"/>
      <c r="D11" s="455" t="s">
        <v>60</v>
      </c>
      <c r="E11" s="453"/>
      <c r="F11" s="453"/>
      <c r="G11" s="453"/>
      <c r="H11" s="454"/>
      <c r="I11" s="88">
        <f>I12</f>
        <v>146212697.40000001</v>
      </c>
      <c r="J11" s="456" t="s">
        <v>61</v>
      </c>
      <c r="K11" s="89"/>
    </row>
    <row r="12" spans="1:14" ht="24.95" customHeight="1">
      <c r="A12" s="90"/>
      <c r="B12" s="458"/>
      <c r="C12" s="459"/>
      <c r="D12" s="460">
        <f>I7</f>
        <v>132920634</v>
      </c>
      <c r="E12" s="461"/>
      <c r="F12" s="461"/>
      <c r="G12" s="91">
        <v>1.1000000000000001</v>
      </c>
      <c r="H12" s="91">
        <v>1.1000000000000001</v>
      </c>
      <c r="I12" s="92">
        <f>D12*H12</f>
        <v>146212697.40000001</v>
      </c>
      <c r="J12" s="457"/>
      <c r="K12" s="89"/>
    </row>
    <row r="13" spans="1:14" ht="24.95" customHeight="1">
      <c r="A13" s="452" t="s">
        <v>62</v>
      </c>
      <c r="B13" s="453"/>
      <c r="C13" s="454"/>
      <c r="D13" s="93" t="s">
        <v>63</v>
      </c>
      <c r="E13" s="94"/>
      <c r="F13" s="94"/>
      <c r="G13" s="94"/>
      <c r="H13" s="94"/>
      <c r="I13" s="88">
        <f>I14</f>
        <v>55826666.280000001</v>
      </c>
      <c r="J13" s="456" t="s">
        <v>64</v>
      </c>
      <c r="K13" s="89"/>
    </row>
    <row r="14" spans="1:14" ht="24.95" customHeight="1">
      <c r="A14" s="463"/>
      <c r="B14" s="464"/>
      <c r="C14" s="464"/>
      <c r="D14" s="465">
        <f>I7+I11</f>
        <v>279133331.39999998</v>
      </c>
      <c r="E14" s="466"/>
      <c r="F14" s="466"/>
      <c r="G14" s="95">
        <v>0.1</v>
      </c>
      <c r="H14" s="95">
        <v>0.2</v>
      </c>
      <c r="I14" s="96">
        <f>D14*H14</f>
        <v>55826666.280000001</v>
      </c>
      <c r="J14" s="462"/>
      <c r="K14" s="89"/>
    </row>
    <row r="15" spans="1:14" ht="24.95" customHeight="1">
      <c r="A15" s="452" t="s">
        <v>65</v>
      </c>
      <c r="B15" s="453"/>
      <c r="C15" s="454"/>
      <c r="D15" s="467" t="s">
        <v>66</v>
      </c>
      <c r="E15" s="468"/>
      <c r="F15" s="468"/>
      <c r="G15" s="468"/>
      <c r="H15" s="469"/>
      <c r="I15" s="88">
        <f>SUM(I16:I20)</f>
        <v>76807086.199999988</v>
      </c>
      <c r="J15" s="456" t="s">
        <v>67</v>
      </c>
      <c r="K15" s="89"/>
    </row>
    <row r="16" spans="1:14" ht="24.95" customHeight="1">
      <c r="A16" s="470" t="s">
        <v>68</v>
      </c>
      <c r="B16" s="471"/>
      <c r="C16" s="472"/>
      <c r="D16" s="473" t="s">
        <v>69</v>
      </c>
      <c r="E16" s="474"/>
      <c r="F16" s="474"/>
      <c r="G16" s="97"/>
      <c r="H16" s="98">
        <v>0.3</v>
      </c>
      <c r="I16" s="99">
        <f>I8*H16</f>
        <v>39876190.199999996</v>
      </c>
      <c r="J16" s="457"/>
      <c r="K16" s="89"/>
    </row>
    <row r="17" spans="1:14" ht="24.95" customHeight="1">
      <c r="A17" s="475" t="s">
        <v>70</v>
      </c>
      <c r="B17" s="476"/>
      <c r="C17" s="477"/>
      <c r="D17" s="478" t="s">
        <v>71</v>
      </c>
      <c r="E17" s="479"/>
      <c r="F17" s="479"/>
      <c r="G17" s="100"/>
      <c r="H17" s="101">
        <v>0.1</v>
      </c>
      <c r="I17" s="102">
        <f>I10*H17</f>
        <v>0</v>
      </c>
      <c r="J17" s="457"/>
      <c r="K17" s="89"/>
    </row>
    <row r="18" spans="1:14" ht="37.5" customHeight="1">
      <c r="A18" s="475" t="s">
        <v>72</v>
      </c>
      <c r="B18" s="476"/>
      <c r="C18" s="477"/>
      <c r="D18" s="480" t="s">
        <v>73</v>
      </c>
      <c r="E18" s="481"/>
      <c r="F18" s="481"/>
      <c r="G18" s="481"/>
      <c r="H18" s="482"/>
      <c r="I18" s="103">
        <v>2000000</v>
      </c>
      <c r="J18" s="457"/>
      <c r="K18" s="89"/>
    </row>
    <row r="19" spans="1:14" ht="24.95" customHeight="1">
      <c r="A19" s="483" t="s">
        <v>74</v>
      </c>
      <c r="B19" s="484"/>
      <c r="C19" s="485"/>
      <c r="D19" s="486"/>
      <c r="E19" s="484"/>
      <c r="F19" s="484"/>
      <c r="G19" s="484"/>
      <c r="H19" s="485"/>
      <c r="I19" s="104">
        <f>I10*10%</f>
        <v>0</v>
      </c>
      <c r="J19" s="457"/>
      <c r="K19" s="89"/>
    </row>
    <row r="20" spans="1:14" ht="28.5" customHeight="1">
      <c r="A20" s="483" t="s">
        <v>75</v>
      </c>
      <c r="B20" s="484"/>
      <c r="C20" s="485"/>
      <c r="D20" s="487" t="s">
        <v>76</v>
      </c>
      <c r="E20" s="488"/>
      <c r="F20" s="488"/>
      <c r="G20" s="488"/>
      <c r="H20" s="489"/>
      <c r="I20" s="105">
        <f>M20*E8*N8</f>
        <v>34930896</v>
      </c>
      <c r="J20" s="462"/>
      <c r="K20" s="89"/>
      <c r="L20" s="106" t="s">
        <v>77</v>
      </c>
      <c r="M20" s="107">
        <v>75608</v>
      </c>
      <c r="N20" s="108" t="s">
        <v>78</v>
      </c>
    </row>
    <row r="21" spans="1:14" ht="24.95" customHeight="1">
      <c r="A21" s="497" t="s">
        <v>79</v>
      </c>
      <c r="B21" s="498"/>
      <c r="C21" s="499"/>
      <c r="D21" s="500" t="s">
        <v>80</v>
      </c>
      <c r="E21" s="498"/>
      <c r="F21" s="498"/>
      <c r="G21" s="498"/>
      <c r="H21" s="499"/>
      <c r="I21" s="109">
        <f>I7+I11+I13+I15</f>
        <v>411767083.87999994</v>
      </c>
      <c r="J21" s="110"/>
      <c r="K21" s="111"/>
      <c r="M21" s="63" t="s">
        <v>81</v>
      </c>
    </row>
    <row r="22" spans="1:14" ht="24.95" customHeight="1">
      <c r="A22" s="497" t="s">
        <v>82</v>
      </c>
      <c r="B22" s="498"/>
      <c r="C22" s="499"/>
      <c r="D22" s="112" t="s">
        <v>97</v>
      </c>
      <c r="E22" s="113"/>
      <c r="F22" s="113"/>
      <c r="G22" s="113"/>
      <c r="H22" s="114">
        <v>0.15</v>
      </c>
      <c r="I22" s="109">
        <f>-I21*H22</f>
        <v>-61765062.581999987</v>
      </c>
      <c r="J22" s="115" t="s">
        <v>83</v>
      </c>
      <c r="K22" s="111"/>
      <c r="L22" s="108" t="s">
        <v>84</v>
      </c>
      <c r="M22" s="116"/>
    </row>
    <row r="23" spans="1:14" ht="24.95" customHeight="1">
      <c r="A23" s="497" t="s">
        <v>85</v>
      </c>
      <c r="B23" s="498"/>
      <c r="C23" s="499"/>
      <c r="D23" s="112"/>
      <c r="E23" s="113"/>
      <c r="F23" s="113"/>
      <c r="G23" s="113"/>
      <c r="H23" s="117"/>
      <c r="I23" s="109">
        <f>+I21+I22</f>
        <v>350002021.29799998</v>
      </c>
      <c r="J23" s="118"/>
      <c r="K23" s="111"/>
      <c r="M23" s="116"/>
    </row>
    <row r="24" spans="1:14" ht="24.95" customHeight="1">
      <c r="A24" s="497" t="s">
        <v>86</v>
      </c>
      <c r="B24" s="498"/>
      <c r="C24" s="499"/>
      <c r="D24" s="501">
        <v>0.1</v>
      </c>
      <c r="E24" s="502"/>
      <c r="F24" s="502"/>
      <c r="G24" s="502"/>
      <c r="H24" s="503"/>
      <c r="I24" s="109">
        <f>I23*D24</f>
        <v>35000202.129799999</v>
      </c>
      <c r="J24" s="118"/>
      <c r="K24" s="111"/>
    </row>
    <row r="25" spans="1:14" ht="24.95" customHeight="1" thickBot="1">
      <c r="A25" s="490" t="s">
        <v>87</v>
      </c>
      <c r="B25" s="491"/>
      <c r="C25" s="492"/>
      <c r="D25" s="493" t="s">
        <v>88</v>
      </c>
      <c r="E25" s="494"/>
      <c r="F25" s="494"/>
      <c r="G25" s="494"/>
      <c r="H25" s="495"/>
      <c r="I25" s="119">
        <f>I23+I24</f>
        <v>385002223.4278</v>
      </c>
      <c r="J25" s="120" t="s">
        <v>89</v>
      </c>
      <c r="K25" s="121"/>
    </row>
    <row r="26" spans="1:14" ht="28.5" customHeight="1">
      <c r="A26" s="496" t="s">
        <v>90</v>
      </c>
      <c r="B26" s="496"/>
      <c r="C26" s="496"/>
      <c r="D26" s="496"/>
      <c r="E26" s="496"/>
      <c r="F26" s="496"/>
      <c r="G26" s="496"/>
      <c r="H26" s="496"/>
      <c r="I26" s="496"/>
      <c r="J26" s="496"/>
    </row>
    <row r="27" spans="1:14" ht="27.75" customHeight="1">
      <c r="A27" s="122"/>
      <c r="B27" s="122"/>
      <c r="C27" s="123"/>
      <c r="D27" s="123"/>
      <c r="E27" s="124"/>
      <c r="F27" s="124"/>
      <c r="G27" s="125" t="s">
        <v>91</v>
      </c>
      <c r="H27" s="125"/>
      <c r="I27" s="126"/>
      <c r="J27" s="127"/>
      <c r="K27" s="128"/>
    </row>
    <row r="28" spans="1:14">
      <c r="A28" s="129" t="s">
        <v>92</v>
      </c>
      <c r="B28" s="124"/>
      <c r="C28" s="124"/>
      <c r="D28" s="124"/>
      <c r="E28" s="124"/>
      <c r="F28" s="124"/>
      <c r="G28" s="124"/>
      <c r="H28" s="124"/>
      <c r="I28" s="130">
        <f>+I25*0.94*0.82</f>
        <v>296759713.8181482</v>
      </c>
      <c r="J28" s="124"/>
    </row>
    <row r="29" spans="1:14">
      <c r="A29" s="129" t="s">
        <v>93</v>
      </c>
      <c r="B29" s="124"/>
      <c r="C29" s="124"/>
      <c r="D29" s="124"/>
      <c r="E29" s="124"/>
      <c r="F29" s="124"/>
      <c r="G29" s="124"/>
      <c r="H29" s="124"/>
      <c r="I29" s="130"/>
      <c r="J29" s="124"/>
    </row>
    <row r="30" spans="1:14">
      <c r="A30" s="129" t="s">
        <v>94</v>
      </c>
      <c r="B30" s="124"/>
      <c r="C30" s="124"/>
      <c r="D30" s="124"/>
      <c r="E30" s="124"/>
      <c r="F30" s="124"/>
      <c r="G30" s="124"/>
      <c r="H30" s="124"/>
      <c r="I30" s="130"/>
      <c r="J30" s="124"/>
    </row>
    <row r="31" spans="1:14">
      <c r="A31" s="124"/>
      <c r="B31" s="124"/>
      <c r="C31" s="124"/>
      <c r="D31" s="124"/>
      <c r="E31" s="124"/>
      <c r="F31" s="124"/>
      <c r="G31" s="124"/>
      <c r="H31" s="124"/>
      <c r="I31" s="130">
        <f>+I21*1.1</f>
        <v>452943792.26799995</v>
      </c>
      <c r="J31" s="124"/>
    </row>
    <row r="32" spans="1:14">
      <c r="A32" s="124"/>
      <c r="B32" s="124"/>
      <c r="C32" s="124"/>
      <c r="D32" s="124"/>
      <c r="E32" s="124"/>
      <c r="F32" s="124"/>
      <c r="G32" s="124"/>
      <c r="H32" s="124"/>
      <c r="I32" s="131">
        <f>+I25*0.85</f>
        <v>327251889.91363001</v>
      </c>
      <c r="J32" s="124"/>
    </row>
    <row r="33" spans="1:10">
      <c r="A33" s="124"/>
      <c r="B33" s="124"/>
      <c r="C33" s="124"/>
      <c r="D33" s="124"/>
      <c r="E33" s="124"/>
      <c r="F33" s="124"/>
      <c r="G33" s="124"/>
      <c r="H33" s="124"/>
      <c r="I33" s="131">
        <f>+I32*0.94</f>
        <v>307616776.51881218</v>
      </c>
      <c r="J33" s="124"/>
    </row>
    <row r="39" spans="1:10" ht="28.5" customHeight="1"/>
  </sheetData>
  <mergeCells count="49">
    <mergeCell ref="D20:H20"/>
    <mergeCell ref="A25:C25"/>
    <mergeCell ref="D25:H25"/>
    <mergeCell ref="A26:J26"/>
    <mergeCell ref="A21:C21"/>
    <mergeCell ref="D21:H21"/>
    <mergeCell ref="A22:C22"/>
    <mergeCell ref="A23:C23"/>
    <mergeCell ref="A24:C24"/>
    <mergeCell ref="D24:H24"/>
    <mergeCell ref="A13:C13"/>
    <mergeCell ref="J13:J14"/>
    <mergeCell ref="A14:C14"/>
    <mergeCell ref="D14:F14"/>
    <mergeCell ref="A15:C15"/>
    <mergeCell ref="D15:H15"/>
    <mergeCell ref="J15:J20"/>
    <mergeCell ref="A16:C16"/>
    <mergeCell ref="D16:F16"/>
    <mergeCell ref="A17:C17"/>
    <mergeCell ref="D17:F17"/>
    <mergeCell ref="A18:C18"/>
    <mergeCell ref="D18:H18"/>
    <mergeCell ref="A19:C19"/>
    <mergeCell ref="D19:H19"/>
    <mergeCell ref="A20:C20"/>
    <mergeCell ref="A11:C11"/>
    <mergeCell ref="D11:H11"/>
    <mergeCell ref="J11:J12"/>
    <mergeCell ref="B12:C12"/>
    <mergeCell ref="D12:F12"/>
    <mergeCell ref="A6:C6"/>
    <mergeCell ref="D6:H6"/>
    <mergeCell ref="A7:C7"/>
    <mergeCell ref="D7:H7"/>
    <mergeCell ref="J7:J10"/>
    <mergeCell ref="D10:H10"/>
    <mergeCell ref="L7:M7"/>
    <mergeCell ref="A8:A9"/>
    <mergeCell ref="B8:C8"/>
    <mergeCell ref="B9:C9"/>
    <mergeCell ref="B10:C10"/>
    <mergeCell ref="A5:C5"/>
    <mergeCell ref="D5:J5"/>
    <mergeCell ref="A1:J1"/>
    <mergeCell ref="A2:C2"/>
    <mergeCell ref="D2:J2"/>
    <mergeCell ref="A4:C4"/>
    <mergeCell ref="D4:J4"/>
  </mergeCells>
  <phoneticPr fontId="4" type="noConversion"/>
  <printOptions horizontalCentered="1"/>
  <pageMargins left="0.35433070866141736" right="0.35433070866141736" top="0.78740157480314965" bottom="0.78740157480314965" header="0.51181102362204722" footer="0.51181102362204722"/>
  <pageSetup paperSize="9" scale="9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60"/>
  <sheetViews>
    <sheetView showGridLines="0" showZeros="0" view="pageBreakPreview" zoomScale="85" zoomScaleNormal="85" zoomScaleSheetLayoutView="85" workbookViewId="0">
      <selection activeCell="K15" sqref="K15"/>
    </sheetView>
  </sheetViews>
  <sheetFormatPr defaultRowHeight="17.100000000000001" customHeight="1"/>
  <cols>
    <col min="1" max="1" width="2.77734375" style="179" customWidth="1"/>
    <col min="2" max="2" width="8.88671875" style="179"/>
    <col min="3" max="3" width="13.44140625" style="179" customWidth="1"/>
    <col min="4" max="4" width="19.6640625" style="180" bestFit="1" customWidth="1"/>
    <col min="5" max="8" width="14.33203125" style="181" customWidth="1"/>
    <col min="9" max="9" width="1.109375" style="179" customWidth="1"/>
    <col min="10" max="10" width="1.44140625" style="179" customWidth="1"/>
    <col min="11" max="16384" width="8.88671875" style="179"/>
  </cols>
  <sheetData>
    <row r="1" spans="2:10" ht="17.100000000000001" customHeight="1">
      <c r="B1" s="179" t="s">
        <v>123</v>
      </c>
      <c r="J1" s="182"/>
    </row>
    <row r="2" spans="2:10" ht="17.100000000000001" customHeight="1">
      <c r="J2" s="182"/>
    </row>
    <row r="3" spans="2:10" ht="25.5" customHeight="1">
      <c r="B3" s="183" t="s">
        <v>124</v>
      </c>
      <c r="C3" s="184"/>
      <c r="D3" s="185"/>
      <c r="E3" s="186"/>
      <c r="F3" s="186"/>
      <c r="G3" s="186"/>
      <c r="H3" s="186"/>
      <c r="J3" s="182"/>
    </row>
    <row r="4" spans="2:10" ht="17.100000000000001" customHeight="1" thickBot="1">
      <c r="B4" s="259" t="str">
        <f>총괄표!A4</f>
        <v xml:space="preserve"> 공사명: 인천 검단신도시 AA11BL 공동주택 신축공사</v>
      </c>
      <c r="H4" s="187" t="s">
        <v>2</v>
      </c>
      <c r="J4" s="182"/>
    </row>
    <row r="5" spans="2:10" s="188" customFormat="1" ht="17.100000000000001" customHeight="1" thickBot="1">
      <c r="B5" s="296" t="s">
        <v>38</v>
      </c>
      <c r="C5" s="297" t="s">
        <v>37</v>
      </c>
      <c r="D5" s="298" t="s">
        <v>36</v>
      </c>
      <c r="E5" s="299" t="s">
        <v>35</v>
      </c>
      <c r="F5" s="299" t="s">
        <v>125</v>
      </c>
      <c r="G5" s="299" t="s">
        <v>126</v>
      </c>
      <c r="H5" s="300" t="s">
        <v>127</v>
      </c>
      <c r="J5" s="189"/>
    </row>
    <row r="6" spans="2:10" ht="17.100000000000001" customHeight="1" thickTop="1">
      <c r="B6" s="303" t="s">
        <v>128</v>
      </c>
      <c r="C6" s="191" t="s">
        <v>129</v>
      </c>
      <c r="D6" s="192" t="s">
        <v>130</v>
      </c>
      <c r="E6" s="193">
        <f>F6+G6+H6</f>
        <v>3785723</v>
      </c>
      <c r="F6" s="327">
        <v>3785723</v>
      </c>
      <c r="G6" s="193"/>
      <c r="H6" s="194"/>
      <c r="J6" s="182"/>
    </row>
    <row r="7" spans="2:10" ht="17.100000000000001" customHeight="1">
      <c r="B7" s="304"/>
      <c r="C7" s="195" t="s">
        <v>131</v>
      </c>
      <c r="D7" s="192" t="s">
        <v>132</v>
      </c>
      <c r="E7" s="193">
        <f t="shared" ref="E7:E18" si="0">F7+G7+H7</f>
        <v>4644872</v>
      </c>
      <c r="F7" s="327">
        <v>4644872</v>
      </c>
      <c r="G7" s="193"/>
      <c r="H7" s="194"/>
      <c r="J7" s="182"/>
    </row>
    <row r="8" spans="2:10" ht="17.100000000000001" customHeight="1">
      <c r="B8" s="304"/>
      <c r="C8" s="195"/>
      <c r="D8" s="192" t="s">
        <v>133</v>
      </c>
      <c r="E8" s="193">
        <f t="shared" si="0"/>
        <v>0</v>
      </c>
      <c r="F8" s="327">
        <v>0</v>
      </c>
      <c r="G8" s="193"/>
      <c r="H8" s="194"/>
      <c r="J8" s="182"/>
    </row>
    <row r="9" spans="2:10" ht="17.100000000000001" customHeight="1">
      <c r="B9" s="305"/>
      <c r="C9" s="196"/>
      <c r="D9" s="192" t="s">
        <v>134</v>
      </c>
      <c r="E9" s="193">
        <f t="shared" si="0"/>
        <v>1821519</v>
      </c>
      <c r="F9" s="327">
        <v>1821519</v>
      </c>
      <c r="G9" s="193"/>
      <c r="H9" s="194"/>
      <c r="J9" s="182"/>
    </row>
    <row r="10" spans="2:10" ht="17.100000000000001" customHeight="1">
      <c r="B10" s="305"/>
      <c r="C10" s="196"/>
      <c r="D10" s="192" t="s">
        <v>135</v>
      </c>
      <c r="E10" s="193">
        <f t="shared" si="0"/>
        <v>0</v>
      </c>
      <c r="F10" s="327">
        <v>0</v>
      </c>
      <c r="G10" s="193"/>
      <c r="H10" s="194"/>
      <c r="J10" s="182"/>
    </row>
    <row r="11" spans="2:10" ht="17.100000000000001" customHeight="1">
      <c r="B11" s="305"/>
      <c r="C11" s="196"/>
      <c r="D11" s="192" t="s">
        <v>136</v>
      </c>
      <c r="E11" s="193">
        <f t="shared" si="0"/>
        <v>637531</v>
      </c>
      <c r="F11" s="327">
        <v>637531</v>
      </c>
      <c r="G11" s="193"/>
      <c r="H11" s="194"/>
      <c r="J11" s="182"/>
    </row>
    <row r="12" spans="2:10" ht="17.100000000000001" customHeight="1">
      <c r="B12" s="305"/>
      <c r="C12" s="196"/>
      <c r="D12" s="192" t="s">
        <v>137</v>
      </c>
      <c r="E12" s="193">
        <f t="shared" si="0"/>
        <v>0</v>
      </c>
      <c r="F12" s="327">
        <v>0</v>
      </c>
      <c r="G12" s="193"/>
      <c r="H12" s="194"/>
      <c r="J12" s="182"/>
    </row>
    <row r="13" spans="2:10" ht="17.100000000000001" customHeight="1">
      <c r="B13" s="305"/>
      <c r="C13" s="196"/>
      <c r="D13" s="192" t="s">
        <v>138</v>
      </c>
      <c r="E13" s="193">
        <f t="shared" si="0"/>
        <v>33395</v>
      </c>
      <c r="F13" s="327">
        <v>33395</v>
      </c>
      <c r="G13" s="193"/>
      <c r="H13" s="194"/>
      <c r="J13" s="182"/>
    </row>
    <row r="14" spans="2:10" ht="17.100000000000001" customHeight="1">
      <c r="B14" s="305"/>
      <c r="C14" s="196"/>
      <c r="D14" s="192" t="s">
        <v>139</v>
      </c>
      <c r="E14" s="193">
        <f t="shared" si="0"/>
        <v>1152110</v>
      </c>
      <c r="F14" s="327">
        <v>1152110</v>
      </c>
      <c r="G14" s="193"/>
      <c r="H14" s="194"/>
      <c r="J14" s="182"/>
    </row>
    <row r="15" spans="2:10" ht="17.100000000000001" customHeight="1">
      <c r="B15" s="305"/>
      <c r="C15" s="196"/>
      <c r="D15" s="192" t="s">
        <v>140</v>
      </c>
      <c r="E15" s="193">
        <f t="shared" si="0"/>
        <v>0</v>
      </c>
      <c r="F15" s="327">
        <v>0</v>
      </c>
      <c r="G15" s="193"/>
      <c r="H15" s="194"/>
      <c r="J15" s="182"/>
    </row>
    <row r="16" spans="2:10" ht="17.100000000000001" customHeight="1">
      <c r="B16" s="305"/>
      <c r="C16" s="196"/>
      <c r="D16" s="192" t="s">
        <v>141</v>
      </c>
      <c r="E16" s="193">
        <f t="shared" si="0"/>
        <v>0</v>
      </c>
      <c r="F16" s="327">
        <v>0</v>
      </c>
      <c r="G16" s="193"/>
      <c r="H16" s="194"/>
      <c r="J16" s="182"/>
    </row>
    <row r="17" spans="2:10" ht="17.100000000000001" customHeight="1">
      <c r="B17" s="305"/>
      <c r="C17" s="196"/>
      <c r="D17" s="197" t="s">
        <v>142</v>
      </c>
      <c r="E17" s="193">
        <f t="shared" si="0"/>
        <v>2774780</v>
      </c>
      <c r="F17" s="327">
        <v>2774780</v>
      </c>
      <c r="G17" s="193"/>
      <c r="H17" s="194"/>
      <c r="J17" s="182"/>
    </row>
    <row r="18" spans="2:10" ht="17.100000000000001" customHeight="1">
      <c r="B18" s="305"/>
      <c r="C18" s="196"/>
      <c r="D18" s="197" t="s">
        <v>143</v>
      </c>
      <c r="E18" s="193">
        <f t="shared" si="0"/>
        <v>329391</v>
      </c>
      <c r="F18" s="327">
        <v>329391</v>
      </c>
      <c r="G18" s="193"/>
      <c r="H18" s="194"/>
      <c r="J18" s="182"/>
    </row>
    <row r="19" spans="2:10" ht="17.100000000000001" customHeight="1">
      <c r="B19" s="305"/>
      <c r="C19" s="198"/>
      <c r="D19" s="199" t="s">
        <v>144</v>
      </c>
      <c r="E19" s="200">
        <f>SUM(E6:E18)</f>
        <v>15179321</v>
      </c>
      <c r="F19" s="200">
        <f>SUM(F6:F18)</f>
        <v>15179321</v>
      </c>
      <c r="G19" s="200">
        <f>SUM(G6:G18)</f>
        <v>0</v>
      </c>
      <c r="H19" s="201">
        <f>SUM(H6:H18)</f>
        <v>0</v>
      </c>
      <c r="J19" s="182"/>
    </row>
    <row r="20" spans="2:10" ht="17.100000000000001" customHeight="1">
      <c r="B20" s="305"/>
      <c r="C20" s="191" t="s">
        <v>145</v>
      </c>
      <c r="D20" s="197" t="s">
        <v>146</v>
      </c>
      <c r="E20" s="193">
        <f>F20+G20+H20</f>
        <v>5839044</v>
      </c>
      <c r="F20" s="327">
        <v>5839044</v>
      </c>
      <c r="G20" s="193"/>
      <c r="H20" s="194"/>
      <c r="J20" s="182"/>
    </row>
    <row r="21" spans="2:10" ht="17.100000000000001" customHeight="1">
      <c r="B21" s="305"/>
      <c r="C21" s="195" t="s">
        <v>147</v>
      </c>
      <c r="D21" s="197" t="s">
        <v>148</v>
      </c>
      <c r="E21" s="193">
        <f t="shared" ref="E21:E42" si="1">F21+G21+H21</f>
        <v>1997858</v>
      </c>
      <c r="F21" s="327">
        <v>1997858</v>
      </c>
      <c r="G21" s="193"/>
      <c r="H21" s="194"/>
      <c r="J21" s="182"/>
    </row>
    <row r="22" spans="2:10" ht="17.100000000000001" customHeight="1">
      <c r="B22" s="305"/>
      <c r="C22" s="196"/>
      <c r="D22" s="192" t="s">
        <v>149</v>
      </c>
      <c r="E22" s="193">
        <f t="shared" si="1"/>
        <v>2704283</v>
      </c>
      <c r="F22" s="327">
        <v>2704283</v>
      </c>
      <c r="G22" s="193"/>
      <c r="H22" s="194"/>
      <c r="J22" s="182"/>
    </row>
    <row r="23" spans="2:10" ht="17.100000000000001" customHeight="1">
      <c r="B23" s="305"/>
      <c r="C23" s="196"/>
      <c r="D23" s="192" t="s">
        <v>150</v>
      </c>
      <c r="E23" s="193">
        <f t="shared" si="1"/>
        <v>518781</v>
      </c>
      <c r="F23" s="327">
        <v>518781</v>
      </c>
      <c r="G23" s="193"/>
      <c r="H23" s="194"/>
      <c r="J23" s="182"/>
    </row>
    <row r="24" spans="2:10" ht="17.100000000000001" customHeight="1">
      <c r="B24" s="305"/>
      <c r="C24" s="196"/>
      <c r="D24" s="192" t="s">
        <v>151</v>
      </c>
      <c r="E24" s="193">
        <f t="shared" si="1"/>
        <v>48787475</v>
      </c>
      <c r="F24" s="327">
        <v>48787475</v>
      </c>
      <c r="G24" s="193"/>
      <c r="H24" s="194"/>
      <c r="J24" s="182"/>
    </row>
    <row r="25" spans="2:10" ht="17.100000000000001" customHeight="1">
      <c r="B25" s="305"/>
      <c r="C25" s="196"/>
      <c r="D25" s="192" t="s">
        <v>152</v>
      </c>
      <c r="E25" s="193">
        <f t="shared" si="1"/>
        <v>0</v>
      </c>
      <c r="F25" s="327">
        <v>0</v>
      </c>
      <c r="G25" s="193"/>
      <c r="H25" s="194"/>
      <c r="J25" s="182"/>
    </row>
    <row r="26" spans="2:10" ht="17.100000000000001" customHeight="1">
      <c r="B26" s="305"/>
      <c r="C26" s="196"/>
      <c r="D26" s="192" t="s">
        <v>153</v>
      </c>
      <c r="E26" s="193">
        <f t="shared" si="1"/>
        <v>2593904</v>
      </c>
      <c r="F26" s="327">
        <v>2593904</v>
      </c>
      <c r="G26" s="193"/>
      <c r="H26" s="194"/>
      <c r="J26" s="182"/>
    </row>
    <row r="27" spans="2:10" ht="17.100000000000001" customHeight="1">
      <c r="B27" s="305"/>
      <c r="C27" s="196"/>
      <c r="D27" s="192" t="s">
        <v>154</v>
      </c>
      <c r="E27" s="193">
        <f t="shared" si="1"/>
        <v>3565239</v>
      </c>
      <c r="F27" s="327">
        <v>3565239</v>
      </c>
      <c r="G27" s="193"/>
      <c r="H27" s="194"/>
      <c r="J27" s="182"/>
    </row>
    <row r="28" spans="2:10" ht="17.100000000000001" customHeight="1">
      <c r="B28" s="305"/>
      <c r="C28" s="196"/>
      <c r="D28" s="192" t="s">
        <v>155</v>
      </c>
      <c r="E28" s="193">
        <f t="shared" si="1"/>
        <v>1479077</v>
      </c>
      <c r="F28" s="327">
        <v>1479077</v>
      </c>
      <c r="G28" s="193"/>
      <c r="H28" s="194"/>
      <c r="J28" s="182"/>
    </row>
    <row r="29" spans="2:10" ht="17.100000000000001" customHeight="1">
      <c r="B29" s="305"/>
      <c r="C29" s="196"/>
      <c r="D29" s="192" t="s">
        <v>156</v>
      </c>
      <c r="E29" s="193">
        <f t="shared" si="1"/>
        <v>2704283</v>
      </c>
      <c r="F29" s="327">
        <v>2704283</v>
      </c>
      <c r="G29" s="193"/>
      <c r="H29" s="194"/>
      <c r="J29" s="182"/>
    </row>
    <row r="30" spans="2:10" ht="17.100000000000001" customHeight="1">
      <c r="B30" s="305"/>
      <c r="C30" s="196"/>
      <c r="D30" s="192" t="s">
        <v>157</v>
      </c>
      <c r="E30" s="193">
        <f t="shared" si="1"/>
        <v>4106095</v>
      </c>
      <c r="F30" s="327">
        <v>4106095</v>
      </c>
      <c r="G30" s="193"/>
      <c r="H30" s="194"/>
      <c r="J30" s="182"/>
    </row>
    <row r="31" spans="2:10" ht="17.100000000000001" customHeight="1">
      <c r="B31" s="305"/>
      <c r="C31" s="196"/>
      <c r="D31" s="197" t="s">
        <v>158</v>
      </c>
      <c r="E31" s="193">
        <f t="shared" si="1"/>
        <v>4922899</v>
      </c>
      <c r="F31" s="327">
        <v>4922899</v>
      </c>
      <c r="G31" s="193"/>
      <c r="H31" s="194"/>
      <c r="J31" s="182"/>
    </row>
    <row r="32" spans="2:10" ht="17.100000000000001" customHeight="1">
      <c r="B32" s="305"/>
      <c r="C32" s="196"/>
      <c r="D32" s="192" t="s">
        <v>159</v>
      </c>
      <c r="E32" s="193">
        <f t="shared" si="1"/>
        <v>1114827</v>
      </c>
      <c r="F32" s="327">
        <v>1114827</v>
      </c>
      <c r="G32" s="193"/>
      <c r="H32" s="194"/>
      <c r="J32" s="182"/>
    </row>
    <row r="33" spans="2:10" ht="17.100000000000001" customHeight="1">
      <c r="B33" s="305"/>
      <c r="C33" s="196"/>
      <c r="D33" s="192" t="s">
        <v>160</v>
      </c>
      <c r="E33" s="193">
        <f t="shared" si="1"/>
        <v>916145</v>
      </c>
      <c r="F33" s="327">
        <v>916145</v>
      </c>
      <c r="G33" s="193"/>
      <c r="H33" s="194"/>
      <c r="J33" s="182"/>
    </row>
    <row r="34" spans="2:10" ht="17.100000000000001" customHeight="1">
      <c r="B34" s="305"/>
      <c r="C34" s="196"/>
      <c r="D34" s="192" t="s">
        <v>161</v>
      </c>
      <c r="E34" s="193">
        <f t="shared" si="1"/>
        <v>10872322</v>
      </c>
      <c r="F34" s="327">
        <v>10872322</v>
      </c>
      <c r="G34" s="193"/>
      <c r="H34" s="194"/>
      <c r="J34" s="182"/>
    </row>
    <row r="35" spans="2:10" ht="17.100000000000001" customHeight="1">
      <c r="B35" s="305"/>
      <c r="C35" s="202"/>
      <c r="D35" s="197" t="s">
        <v>162</v>
      </c>
      <c r="E35" s="193">
        <f t="shared" si="1"/>
        <v>2207578</v>
      </c>
      <c r="F35" s="327">
        <v>2207578</v>
      </c>
      <c r="G35" s="193"/>
      <c r="H35" s="194"/>
      <c r="J35" s="182"/>
    </row>
    <row r="36" spans="2:10" ht="17.100000000000001" customHeight="1">
      <c r="B36" s="305"/>
      <c r="C36" s="202"/>
      <c r="D36" s="197" t="s">
        <v>163</v>
      </c>
      <c r="E36" s="193">
        <f t="shared" si="1"/>
        <v>3962603</v>
      </c>
      <c r="F36" s="327">
        <v>3962603</v>
      </c>
      <c r="G36" s="193"/>
      <c r="H36" s="194"/>
      <c r="J36" s="182"/>
    </row>
    <row r="37" spans="2:10" ht="17.100000000000001" customHeight="1">
      <c r="B37" s="305"/>
      <c r="C37" s="202"/>
      <c r="D37" s="197" t="s">
        <v>164</v>
      </c>
      <c r="E37" s="193">
        <f t="shared" si="1"/>
        <v>1876441</v>
      </c>
      <c r="F37" s="327">
        <v>1876441</v>
      </c>
      <c r="G37" s="193"/>
      <c r="H37" s="194"/>
      <c r="J37" s="182"/>
    </row>
    <row r="38" spans="2:10" ht="17.100000000000001" customHeight="1">
      <c r="B38" s="305"/>
      <c r="C38" s="196"/>
      <c r="D38" s="197" t="s">
        <v>165</v>
      </c>
      <c r="E38" s="193">
        <f t="shared" si="1"/>
        <v>1236244</v>
      </c>
      <c r="F38" s="327">
        <v>1236244</v>
      </c>
      <c r="G38" s="193"/>
      <c r="H38" s="194"/>
      <c r="J38" s="182"/>
    </row>
    <row r="39" spans="2:10" ht="17.100000000000001" customHeight="1">
      <c r="B39" s="305"/>
      <c r="C39" s="196"/>
      <c r="D39" s="197" t="s">
        <v>166</v>
      </c>
      <c r="E39" s="193">
        <f t="shared" si="1"/>
        <v>1479077</v>
      </c>
      <c r="F39" s="327">
        <v>1479077</v>
      </c>
      <c r="G39" s="193"/>
      <c r="H39" s="194"/>
      <c r="J39" s="182"/>
    </row>
    <row r="40" spans="2:10" ht="17.100000000000001" customHeight="1">
      <c r="B40" s="305"/>
      <c r="C40" s="196"/>
      <c r="D40" s="192" t="s">
        <v>167</v>
      </c>
      <c r="E40" s="193">
        <f t="shared" si="1"/>
        <v>1964744</v>
      </c>
      <c r="F40" s="327">
        <v>1964744</v>
      </c>
      <c r="G40" s="193"/>
      <c r="H40" s="194"/>
      <c r="J40" s="182"/>
    </row>
    <row r="41" spans="2:10" ht="17.100000000000001" customHeight="1">
      <c r="B41" s="305"/>
      <c r="C41" s="196"/>
      <c r="D41" s="197" t="s">
        <v>168</v>
      </c>
      <c r="E41" s="193">
        <f t="shared" si="1"/>
        <v>4635914</v>
      </c>
      <c r="F41" s="327">
        <v>4635914</v>
      </c>
      <c r="G41" s="193"/>
      <c r="H41" s="194"/>
      <c r="J41" s="182"/>
    </row>
    <row r="42" spans="2:10" ht="17.100000000000001" customHeight="1">
      <c r="B42" s="305"/>
      <c r="C42" s="196"/>
      <c r="D42" s="197" t="s">
        <v>169</v>
      </c>
      <c r="E42" s="193">
        <f t="shared" si="1"/>
        <v>894069</v>
      </c>
      <c r="F42" s="327">
        <v>894069</v>
      </c>
      <c r="G42" s="193"/>
      <c r="H42" s="194"/>
      <c r="J42" s="182"/>
    </row>
    <row r="43" spans="2:10" ht="17.100000000000001" customHeight="1">
      <c r="B43" s="305"/>
      <c r="C43" s="198"/>
      <c r="D43" s="199" t="s">
        <v>170</v>
      </c>
      <c r="E43" s="248">
        <f>SUM(E20:E42)</f>
        <v>110378902</v>
      </c>
      <c r="F43" s="200">
        <f>SUM(F20:F42)</f>
        <v>110378902</v>
      </c>
      <c r="G43" s="200">
        <f>SUM(G20:G42)</f>
        <v>0</v>
      </c>
      <c r="H43" s="201">
        <f>SUM(H20:H42)</f>
        <v>0</v>
      </c>
      <c r="J43" s="182"/>
    </row>
    <row r="44" spans="2:10" ht="17.100000000000001" customHeight="1">
      <c r="B44" s="306"/>
      <c r="C44" s="203" t="s">
        <v>171</v>
      </c>
      <c r="D44" s="192" t="s">
        <v>172</v>
      </c>
      <c r="E44" s="193">
        <f>F44+G44+H44</f>
        <v>3341852</v>
      </c>
      <c r="F44" s="327">
        <v>3341852</v>
      </c>
      <c r="G44" s="193"/>
      <c r="H44" s="194"/>
      <c r="J44" s="182"/>
    </row>
    <row r="45" spans="2:10" ht="17.100000000000001" customHeight="1">
      <c r="B45" s="306"/>
      <c r="C45" s="206" t="s">
        <v>176</v>
      </c>
      <c r="D45" s="192" t="s">
        <v>177</v>
      </c>
      <c r="E45" s="193">
        <f t="shared" ref="E45:E52" si="2">F45+G45+H45</f>
        <v>2227901</v>
      </c>
      <c r="F45" s="327">
        <v>2227901</v>
      </c>
      <c r="G45" s="193"/>
      <c r="H45" s="194"/>
      <c r="J45" s="182"/>
    </row>
    <row r="46" spans="2:10" ht="17.100000000000001" customHeight="1">
      <c r="B46" s="306"/>
      <c r="C46" s="207"/>
      <c r="D46" s="192" t="s">
        <v>233</v>
      </c>
      <c r="E46" s="193">
        <f t="shared" si="2"/>
        <v>3787880</v>
      </c>
      <c r="F46" s="327">
        <v>3787880</v>
      </c>
      <c r="G46" s="193"/>
      <c r="H46" s="194"/>
      <c r="J46" s="182"/>
    </row>
    <row r="47" spans="2:10" ht="17.100000000000001" customHeight="1">
      <c r="B47" s="306"/>
      <c r="C47" s="208"/>
      <c r="D47" s="197" t="s">
        <v>180</v>
      </c>
      <c r="E47" s="193">
        <f t="shared" si="2"/>
        <v>2452036</v>
      </c>
      <c r="F47" s="327">
        <v>2452036</v>
      </c>
      <c r="G47" s="193"/>
      <c r="H47" s="194"/>
      <c r="J47" s="182"/>
    </row>
    <row r="48" spans="2:10" ht="17.100000000000001" customHeight="1">
      <c r="B48" s="306"/>
      <c r="C48" s="208"/>
      <c r="D48" s="192" t="s">
        <v>182</v>
      </c>
      <c r="E48" s="193">
        <f t="shared" si="2"/>
        <v>3474092</v>
      </c>
      <c r="F48" s="327">
        <v>3474092</v>
      </c>
      <c r="G48" s="210"/>
      <c r="H48" s="211"/>
      <c r="J48" s="182"/>
    </row>
    <row r="49" spans="2:10" ht="17.100000000000001" customHeight="1">
      <c r="B49" s="306"/>
      <c r="C49" s="207"/>
      <c r="D49" s="192" t="s">
        <v>184</v>
      </c>
      <c r="E49" s="193">
        <f t="shared" si="2"/>
        <v>2006008</v>
      </c>
      <c r="F49" s="327">
        <v>2006008</v>
      </c>
      <c r="G49" s="193"/>
      <c r="H49" s="194"/>
      <c r="J49" s="182"/>
    </row>
    <row r="50" spans="2:10" ht="17.100000000000001" customHeight="1">
      <c r="B50" s="306"/>
      <c r="C50" s="208"/>
      <c r="D50" s="192" t="s">
        <v>186</v>
      </c>
      <c r="E50" s="193">
        <f t="shared" si="2"/>
        <v>1113951</v>
      </c>
      <c r="F50" s="327">
        <v>1113951</v>
      </c>
      <c r="G50" s="193"/>
      <c r="H50" s="194"/>
      <c r="J50" s="182"/>
    </row>
    <row r="51" spans="2:10" ht="17.100000000000001" customHeight="1">
      <c r="B51" s="306"/>
      <c r="C51" s="208"/>
      <c r="D51" s="192" t="s">
        <v>188</v>
      </c>
      <c r="E51" s="193">
        <f t="shared" si="2"/>
        <v>221894</v>
      </c>
      <c r="F51" s="327">
        <v>221894</v>
      </c>
      <c r="G51" s="193"/>
      <c r="H51" s="194"/>
      <c r="J51" s="182"/>
    </row>
    <row r="52" spans="2:10" ht="17.100000000000001" customHeight="1">
      <c r="B52" s="306"/>
      <c r="C52" s="208"/>
      <c r="D52" s="192" t="s">
        <v>189</v>
      </c>
      <c r="E52" s="193">
        <f t="shared" si="2"/>
        <v>3787880</v>
      </c>
      <c r="F52" s="327">
        <v>3787880</v>
      </c>
      <c r="G52" s="193"/>
      <c r="H52" s="194"/>
      <c r="J52" s="182"/>
    </row>
    <row r="53" spans="2:10" ht="17.100000000000001" customHeight="1">
      <c r="B53" s="305"/>
      <c r="C53" s="213"/>
      <c r="D53" s="199" t="s">
        <v>170</v>
      </c>
      <c r="E53" s="200">
        <f>SUM(E44:E52)</f>
        <v>22413494</v>
      </c>
      <c r="F53" s="200">
        <f>SUM(F44:F52)</f>
        <v>22413494</v>
      </c>
      <c r="G53" s="200">
        <f>SUM(G44:G52)</f>
        <v>0</v>
      </c>
      <c r="H53" s="201">
        <f>SUM(H44:H52)</f>
        <v>0</v>
      </c>
      <c r="J53" s="182"/>
    </row>
    <row r="54" spans="2:10" ht="17.100000000000001" customHeight="1">
      <c r="B54" s="306"/>
      <c r="C54" s="214" t="s">
        <v>191</v>
      </c>
      <c r="D54" s="215"/>
      <c r="E54" s="193">
        <f>F54+G54+H54</f>
        <v>6825362</v>
      </c>
      <c r="F54" s="193"/>
      <c r="G54" s="327"/>
      <c r="H54" s="328">
        <v>6825362</v>
      </c>
      <c r="J54" s="182"/>
    </row>
    <row r="55" spans="2:10" ht="17.100000000000001" customHeight="1">
      <c r="B55" s="306"/>
      <c r="C55" s="214" t="s">
        <v>192</v>
      </c>
      <c r="D55" s="215"/>
      <c r="E55" s="193">
        <f t="shared" ref="E55:E56" si="3">F55+G55+H55</f>
        <v>2257346</v>
      </c>
      <c r="F55" s="193"/>
      <c r="G55" s="327"/>
      <c r="H55" s="328">
        <v>2257346</v>
      </c>
      <c r="J55" s="182"/>
    </row>
    <row r="56" spans="2:10" ht="17.100000000000001" customHeight="1">
      <c r="B56" s="305"/>
      <c r="C56" s="214" t="s">
        <v>194</v>
      </c>
      <c r="D56" s="215"/>
      <c r="E56" s="193">
        <f t="shared" si="3"/>
        <v>2630608</v>
      </c>
      <c r="F56" s="193"/>
      <c r="G56" s="327"/>
      <c r="H56" s="328">
        <v>2630608</v>
      </c>
      <c r="J56" s="182"/>
    </row>
    <row r="57" spans="2:10" ht="17.100000000000001" customHeight="1">
      <c r="B57" s="307"/>
      <c r="C57" s="504" t="s">
        <v>181</v>
      </c>
      <c r="D57" s="505"/>
      <c r="E57" s="301">
        <f>SUM(E53,E43,E19)+SUM(E54:E56)</f>
        <v>159685033</v>
      </c>
      <c r="F57" s="301">
        <f t="shared" ref="F57:H57" si="4">SUM(F53,F43,F19)+SUM(F54:F56)</f>
        <v>147971717</v>
      </c>
      <c r="G57" s="301">
        <f t="shared" si="4"/>
        <v>0</v>
      </c>
      <c r="H57" s="302">
        <f t="shared" si="4"/>
        <v>11713316</v>
      </c>
      <c r="J57" s="182"/>
    </row>
    <row r="58" spans="2:10" ht="17.100000000000001" customHeight="1">
      <c r="B58" s="220" t="s">
        <v>197</v>
      </c>
      <c r="C58" s="221"/>
      <c r="D58" s="215"/>
      <c r="E58" s="327">
        <v>11073439</v>
      </c>
      <c r="F58" s="331">
        <v>7197735</v>
      </c>
      <c r="G58" s="340">
        <v>0</v>
      </c>
      <c r="H58" s="332">
        <f>E58-F58</f>
        <v>3875704</v>
      </c>
      <c r="J58" s="182"/>
    </row>
    <row r="59" spans="2:10" ht="17.100000000000001" customHeight="1" thickBot="1">
      <c r="B59" s="224" t="s">
        <v>199</v>
      </c>
      <c r="C59" s="225"/>
      <c r="D59" s="226"/>
      <c r="E59" s="327">
        <v>6985332</v>
      </c>
      <c r="F59" s="331">
        <v>4540466</v>
      </c>
      <c r="G59" s="341">
        <v>0</v>
      </c>
      <c r="H59" s="334">
        <f>E59-F59</f>
        <v>2444866</v>
      </c>
      <c r="J59" s="182"/>
    </row>
    <row r="60" spans="2:10" ht="17.100000000000001" customHeight="1" thickBot="1">
      <c r="B60" s="260" t="s">
        <v>200</v>
      </c>
      <c r="C60" s="261"/>
      <c r="D60" s="262"/>
      <c r="E60" s="263">
        <f>E19+E43+E53+E54+E55+E56+E58+E59</f>
        <v>177743804</v>
      </c>
      <c r="F60" s="263">
        <f t="shared" ref="F60:H60" si="5">F19+F43+F53+F54+F55+F56+F58+F59</f>
        <v>159709918</v>
      </c>
      <c r="G60" s="263">
        <f t="shared" si="5"/>
        <v>0</v>
      </c>
      <c r="H60" s="314">
        <f t="shared" si="5"/>
        <v>18033886</v>
      </c>
      <c r="J60" s="182"/>
    </row>
  </sheetData>
  <mergeCells count="1">
    <mergeCell ref="C57:D57"/>
  </mergeCells>
  <phoneticPr fontId="4" type="noConversion"/>
  <printOptions horizontalCentered="1"/>
  <pageMargins left="0.23622047244094491" right="0.23622047244094491" top="0.55118110236220474" bottom="0.55118110236220474" header="0.31496062992125984" footer="0.31496062992125984"/>
  <pageSetup paperSize="9" scale="73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Q71"/>
  <sheetViews>
    <sheetView view="pageBreakPreview" zoomScale="70" zoomScaleNormal="70" zoomScaleSheetLayoutView="70" workbookViewId="0">
      <selection sqref="A1:CQ1"/>
    </sheetView>
  </sheetViews>
  <sheetFormatPr defaultRowHeight="13.5"/>
  <cols>
    <col min="1" max="1" width="11.5546875" style="284" customWidth="1"/>
    <col min="2" max="94" width="1.6640625" style="285" customWidth="1"/>
    <col min="95" max="95" width="24.88671875" style="285" customWidth="1"/>
    <col min="96" max="258" width="8.88671875" style="285"/>
    <col min="259" max="259" width="11.5546875" style="285" customWidth="1"/>
    <col min="260" max="349" width="1.5546875" style="285" customWidth="1"/>
    <col min="350" max="350" width="24.88671875" style="285" customWidth="1"/>
    <col min="351" max="351" width="31.109375" style="285" customWidth="1"/>
    <col min="352" max="514" width="8.88671875" style="285"/>
    <col min="515" max="515" width="11.5546875" style="285" customWidth="1"/>
    <col min="516" max="605" width="1.5546875" style="285" customWidth="1"/>
    <col min="606" max="606" width="24.88671875" style="285" customWidth="1"/>
    <col min="607" max="607" width="31.109375" style="285" customWidth="1"/>
    <col min="608" max="770" width="8.88671875" style="285"/>
    <col min="771" max="771" width="11.5546875" style="285" customWidth="1"/>
    <col min="772" max="861" width="1.5546875" style="285" customWidth="1"/>
    <col min="862" max="862" width="24.88671875" style="285" customWidth="1"/>
    <col min="863" max="863" width="31.109375" style="285" customWidth="1"/>
    <col min="864" max="1026" width="8.88671875" style="285"/>
    <col min="1027" max="1027" width="11.5546875" style="285" customWidth="1"/>
    <col min="1028" max="1117" width="1.5546875" style="285" customWidth="1"/>
    <col min="1118" max="1118" width="24.88671875" style="285" customWidth="1"/>
    <col min="1119" max="1119" width="31.109375" style="285" customWidth="1"/>
    <col min="1120" max="1282" width="8.88671875" style="285"/>
    <col min="1283" max="1283" width="11.5546875" style="285" customWidth="1"/>
    <col min="1284" max="1373" width="1.5546875" style="285" customWidth="1"/>
    <col min="1374" max="1374" width="24.88671875" style="285" customWidth="1"/>
    <col min="1375" max="1375" width="31.109375" style="285" customWidth="1"/>
    <col min="1376" max="1538" width="8.88671875" style="285"/>
    <col min="1539" max="1539" width="11.5546875" style="285" customWidth="1"/>
    <col min="1540" max="1629" width="1.5546875" style="285" customWidth="1"/>
    <col min="1630" max="1630" width="24.88671875" style="285" customWidth="1"/>
    <col min="1631" max="1631" width="31.109375" style="285" customWidth="1"/>
    <col min="1632" max="1794" width="8.88671875" style="285"/>
    <col min="1795" max="1795" width="11.5546875" style="285" customWidth="1"/>
    <col min="1796" max="1885" width="1.5546875" style="285" customWidth="1"/>
    <col min="1886" max="1886" width="24.88671875" style="285" customWidth="1"/>
    <col min="1887" max="1887" width="31.109375" style="285" customWidth="1"/>
    <col min="1888" max="2050" width="8.88671875" style="285"/>
    <col min="2051" max="2051" width="11.5546875" style="285" customWidth="1"/>
    <col min="2052" max="2141" width="1.5546875" style="285" customWidth="1"/>
    <col min="2142" max="2142" width="24.88671875" style="285" customWidth="1"/>
    <col min="2143" max="2143" width="31.109375" style="285" customWidth="1"/>
    <col min="2144" max="2306" width="8.88671875" style="285"/>
    <col min="2307" max="2307" width="11.5546875" style="285" customWidth="1"/>
    <col min="2308" max="2397" width="1.5546875" style="285" customWidth="1"/>
    <col min="2398" max="2398" width="24.88671875" style="285" customWidth="1"/>
    <col min="2399" max="2399" width="31.109375" style="285" customWidth="1"/>
    <col min="2400" max="2562" width="8.88671875" style="285"/>
    <col min="2563" max="2563" width="11.5546875" style="285" customWidth="1"/>
    <col min="2564" max="2653" width="1.5546875" style="285" customWidth="1"/>
    <col min="2654" max="2654" width="24.88671875" style="285" customWidth="1"/>
    <col min="2655" max="2655" width="31.109375" style="285" customWidth="1"/>
    <col min="2656" max="2818" width="8.88671875" style="285"/>
    <col min="2819" max="2819" width="11.5546875" style="285" customWidth="1"/>
    <col min="2820" max="2909" width="1.5546875" style="285" customWidth="1"/>
    <col min="2910" max="2910" width="24.88671875" style="285" customWidth="1"/>
    <col min="2911" max="2911" width="31.109375" style="285" customWidth="1"/>
    <col min="2912" max="3074" width="8.88671875" style="285"/>
    <col min="3075" max="3075" width="11.5546875" style="285" customWidth="1"/>
    <col min="3076" max="3165" width="1.5546875" style="285" customWidth="1"/>
    <col min="3166" max="3166" width="24.88671875" style="285" customWidth="1"/>
    <col min="3167" max="3167" width="31.109375" style="285" customWidth="1"/>
    <col min="3168" max="3330" width="8.88671875" style="285"/>
    <col min="3331" max="3331" width="11.5546875" style="285" customWidth="1"/>
    <col min="3332" max="3421" width="1.5546875" style="285" customWidth="1"/>
    <col min="3422" max="3422" width="24.88671875" style="285" customWidth="1"/>
    <col min="3423" max="3423" width="31.109375" style="285" customWidth="1"/>
    <col min="3424" max="3586" width="8.88671875" style="285"/>
    <col min="3587" max="3587" width="11.5546875" style="285" customWidth="1"/>
    <col min="3588" max="3677" width="1.5546875" style="285" customWidth="1"/>
    <col min="3678" max="3678" width="24.88671875" style="285" customWidth="1"/>
    <col min="3679" max="3679" width="31.109375" style="285" customWidth="1"/>
    <col min="3680" max="3842" width="8.88671875" style="285"/>
    <col min="3843" max="3843" width="11.5546875" style="285" customWidth="1"/>
    <col min="3844" max="3933" width="1.5546875" style="285" customWidth="1"/>
    <col min="3934" max="3934" width="24.88671875" style="285" customWidth="1"/>
    <col min="3935" max="3935" width="31.109375" style="285" customWidth="1"/>
    <col min="3936" max="4098" width="8.88671875" style="285"/>
    <col min="4099" max="4099" width="11.5546875" style="285" customWidth="1"/>
    <col min="4100" max="4189" width="1.5546875" style="285" customWidth="1"/>
    <col min="4190" max="4190" width="24.88671875" style="285" customWidth="1"/>
    <col min="4191" max="4191" width="31.109375" style="285" customWidth="1"/>
    <col min="4192" max="4354" width="8.88671875" style="285"/>
    <col min="4355" max="4355" width="11.5546875" style="285" customWidth="1"/>
    <col min="4356" max="4445" width="1.5546875" style="285" customWidth="1"/>
    <col min="4446" max="4446" width="24.88671875" style="285" customWidth="1"/>
    <col min="4447" max="4447" width="31.109375" style="285" customWidth="1"/>
    <col min="4448" max="4610" width="8.88671875" style="285"/>
    <col min="4611" max="4611" width="11.5546875" style="285" customWidth="1"/>
    <col min="4612" max="4701" width="1.5546875" style="285" customWidth="1"/>
    <col min="4702" max="4702" width="24.88671875" style="285" customWidth="1"/>
    <col min="4703" max="4703" width="31.109375" style="285" customWidth="1"/>
    <col min="4704" max="4866" width="8.88671875" style="285"/>
    <col min="4867" max="4867" width="11.5546875" style="285" customWidth="1"/>
    <col min="4868" max="4957" width="1.5546875" style="285" customWidth="1"/>
    <col min="4958" max="4958" width="24.88671875" style="285" customWidth="1"/>
    <col min="4959" max="4959" width="31.109375" style="285" customWidth="1"/>
    <col min="4960" max="5122" width="8.88671875" style="285"/>
    <col min="5123" max="5123" width="11.5546875" style="285" customWidth="1"/>
    <col min="5124" max="5213" width="1.5546875" style="285" customWidth="1"/>
    <col min="5214" max="5214" width="24.88671875" style="285" customWidth="1"/>
    <col min="5215" max="5215" width="31.109375" style="285" customWidth="1"/>
    <col min="5216" max="5378" width="8.88671875" style="285"/>
    <col min="5379" max="5379" width="11.5546875" style="285" customWidth="1"/>
    <col min="5380" max="5469" width="1.5546875" style="285" customWidth="1"/>
    <col min="5470" max="5470" width="24.88671875" style="285" customWidth="1"/>
    <col min="5471" max="5471" width="31.109375" style="285" customWidth="1"/>
    <col min="5472" max="5634" width="8.88671875" style="285"/>
    <col min="5635" max="5635" width="11.5546875" style="285" customWidth="1"/>
    <col min="5636" max="5725" width="1.5546875" style="285" customWidth="1"/>
    <col min="5726" max="5726" width="24.88671875" style="285" customWidth="1"/>
    <col min="5727" max="5727" width="31.109375" style="285" customWidth="1"/>
    <col min="5728" max="5890" width="8.88671875" style="285"/>
    <col min="5891" max="5891" width="11.5546875" style="285" customWidth="1"/>
    <col min="5892" max="5981" width="1.5546875" style="285" customWidth="1"/>
    <col min="5982" max="5982" width="24.88671875" style="285" customWidth="1"/>
    <col min="5983" max="5983" width="31.109375" style="285" customWidth="1"/>
    <col min="5984" max="6146" width="8.88671875" style="285"/>
    <col min="6147" max="6147" width="11.5546875" style="285" customWidth="1"/>
    <col min="6148" max="6237" width="1.5546875" style="285" customWidth="1"/>
    <col min="6238" max="6238" width="24.88671875" style="285" customWidth="1"/>
    <col min="6239" max="6239" width="31.109375" style="285" customWidth="1"/>
    <col min="6240" max="6402" width="8.88671875" style="285"/>
    <col min="6403" max="6403" width="11.5546875" style="285" customWidth="1"/>
    <col min="6404" max="6493" width="1.5546875" style="285" customWidth="1"/>
    <col min="6494" max="6494" width="24.88671875" style="285" customWidth="1"/>
    <col min="6495" max="6495" width="31.109375" style="285" customWidth="1"/>
    <col min="6496" max="6658" width="8.88671875" style="285"/>
    <col min="6659" max="6659" width="11.5546875" style="285" customWidth="1"/>
    <col min="6660" max="6749" width="1.5546875" style="285" customWidth="1"/>
    <col min="6750" max="6750" width="24.88671875" style="285" customWidth="1"/>
    <col min="6751" max="6751" width="31.109375" style="285" customWidth="1"/>
    <col min="6752" max="6914" width="8.88671875" style="285"/>
    <col min="6915" max="6915" width="11.5546875" style="285" customWidth="1"/>
    <col min="6916" max="7005" width="1.5546875" style="285" customWidth="1"/>
    <col min="7006" max="7006" width="24.88671875" style="285" customWidth="1"/>
    <col min="7007" max="7007" width="31.109375" style="285" customWidth="1"/>
    <col min="7008" max="7170" width="8.88671875" style="285"/>
    <col min="7171" max="7171" width="11.5546875" style="285" customWidth="1"/>
    <col min="7172" max="7261" width="1.5546875" style="285" customWidth="1"/>
    <col min="7262" max="7262" width="24.88671875" style="285" customWidth="1"/>
    <col min="7263" max="7263" width="31.109375" style="285" customWidth="1"/>
    <col min="7264" max="7426" width="8.88671875" style="285"/>
    <col min="7427" max="7427" width="11.5546875" style="285" customWidth="1"/>
    <col min="7428" max="7517" width="1.5546875" style="285" customWidth="1"/>
    <col min="7518" max="7518" width="24.88671875" style="285" customWidth="1"/>
    <col min="7519" max="7519" width="31.109375" style="285" customWidth="1"/>
    <col min="7520" max="7682" width="8.88671875" style="285"/>
    <col min="7683" max="7683" width="11.5546875" style="285" customWidth="1"/>
    <col min="7684" max="7773" width="1.5546875" style="285" customWidth="1"/>
    <col min="7774" max="7774" width="24.88671875" style="285" customWidth="1"/>
    <col min="7775" max="7775" width="31.109375" style="285" customWidth="1"/>
    <col min="7776" max="7938" width="8.88671875" style="285"/>
    <col min="7939" max="7939" width="11.5546875" style="285" customWidth="1"/>
    <col min="7940" max="8029" width="1.5546875" style="285" customWidth="1"/>
    <col min="8030" max="8030" width="24.88671875" style="285" customWidth="1"/>
    <col min="8031" max="8031" width="31.109375" style="285" customWidth="1"/>
    <col min="8032" max="8194" width="8.88671875" style="285"/>
    <col min="8195" max="8195" width="11.5546875" style="285" customWidth="1"/>
    <col min="8196" max="8285" width="1.5546875" style="285" customWidth="1"/>
    <col min="8286" max="8286" width="24.88671875" style="285" customWidth="1"/>
    <col min="8287" max="8287" width="31.109375" style="285" customWidth="1"/>
    <col min="8288" max="8450" width="8.88671875" style="285"/>
    <col min="8451" max="8451" width="11.5546875" style="285" customWidth="1"/>
    <col min="8452" max="8541" width="1.5546875" style="285" customWidth="1"/>
    <col min="8542" max="8542" width="24.88671875" style="285" customWidth="1"/>
    <col min="8543" max="8543" width="31.109375" style="285" customWidth="1"/>
    <col min="8544" max="8706" width="8.88671875" style="285"/>
    <col min="8707" max="8707" width="11.5546875" style="285" customWidth="1"/>
    <col min="8708" max="8797" width="1.5546875" style="285" customWidth="1"/>
    <col min="8798" max="8798" width="24.88671875" style="285" customWidth="1"/>
    <col min="8799" max="8799" width="31.109375" style="285" customWidth="1"/>
    <col min="8800" max="8962" width="8.88671875" style="285"/>
    <col min="8963" max="8963" width="11.5546875" style="285" customWidth="1"/>
    <col min="8964" max="9053" width="1.5546875" style="285" customWidth="1"/>
    <col min="9054" max="9054" width="24.88671875" style="285" customWidth="1"/>
    <col min="9055" max="9055" width="31.109375" style="285" customWidth="1"/>
    <col min="9056" max="9218" width="8.88671875" style="285"/>
    <col min="9219" max="9219" width="11.5546875" style="285" customWidth="1"/>
    <col min="9220" max="9309" width="1.5546875" style="285" customWidth="1"/>
    <col min="9310" max="9310" width="24.88671875" style="285" customWidth="1"/>
    <col min="9311" max="9311" width="31.109375" style="285" customWidth="1"/>
    <col min="9312" max="9474" width="8.88671875" style="285"/>
    <col min="9475" max="9475" width="11.5546875" style="285" customWidth="1"/>
    <col min="9476" max="9565" width="1.5546875" style="285" customWidth="1"/>
    <col min="9566" max="9566" width="24.88671875" style="285" customWidth="1"/>
    <col min="9567" max="9567" width="31.109375" style="285" customWidth="1"/>
    <col min="9568" max="9730" width="8.88671875" style="285"/>
    <col min="9731" max="9731" width="11.5546875" style="285" customWidth="1"/>
    <col min="9732" max="9821" width="1.5546875" style="285" customWidth="1"/>
    <col min="9822" max="9822" width="24.88671875" style="285" customWidth="1"/>
    <col min="9823" max="9823" width="31.109375" style="285" customWidth="1"/>
    <col min="9824" max="9986" width="8.88671875" style="285"/>
    <col min="9987" max="9987" width="11.5546875" style="285" customWidth="1"/>
    <col min="9988" max="10077" width="1.5546875" style="285" customWidth="1"/>
    <col min="10078" max="10078" width="24.88671875" style="285" customWidth="1"/>
    <col min="10079" max="10079" width="31.109375" style="285" customWidth="1"/>
    <col min="10080" max="10242" width="8.88671875" style="285"/>
    <col min="10243" max="10243" width="11.5546875" style="285" customWidth="1"/>
    <col min="10244" max="10333" width="1.5546875" style="285" customWidth="1"/>
    <col min="10334" max="10334" width="24.88671875" style="285" customWidth="1"/>
    <col min="10335" max="10335" width="31.109375" style="285" customWidth="1"/>
    <col min="10336" max="10498" width="8.88671875" style="285"/>
    <col min="10499" max="10499" width="11.5546875" style="285" customWidth="1"/>
    <col min="10500" max="10589" width="1.5546875" style="285" customWidth="1"/>
    <col min="10590" max="10590" width="24.88671875" style="285" customWidth="1"/>
    <col min="10591" max="10591" width="31.109375" style="285" customWidth="1"/>
    <col min="10592" max="10754" width="8.88671875" style="285"/>
    <col min="10755" max="10755" width="11.5546875" style="285" customWidth="1"/>
    <col min="10756" max="10845" width="1.5546875" style="285" customWidth="1"/>
    <col min="10846" max="10846" width="24.88671875" style="285" customWidth="1"/>
    <col min="10847" max="10847" width="31.109375" style="285" customWidth="1"/>
    <col min="10848" max="11010" width="8.88671875" style="285"/>
    <col min="11011" max="11011" width="11.5546875" style="285" customWidth="1"/>
    <col min="11012" max="11101" width="1.5546875" style="285" customWidth="1"/>
    <col min="11102" max="11102" width="24.88671875" style="285" customWidth="1"/>
    <col min="11103" max="11103" width="31.109375" style="285" customWidth="1"/>
    <col min="11104" max="11266" width="8.88671875" style="285"/>
    <col min="11267" max="11267" width="11.5546875" style="285" customWidth="1"/>
    <col min="11268" max="11357" width="1.5546875" style="285" customWidth="1"/>
    <col min="11358" max="11358" width="24.88671875" style="285" customWidth="1"/>
    <col min="11359" max="11359" width="31.109375" style="285" customWidth="1"/>
    <col min="11360" max="11522" width="8.88671875" style="285"/>
    <col min="11523" max="11523" width="11.5546875" style="285" customWidth="1"/>
    <col min="11524" max="11613" width="1.5546875" style="285" customWidth="1"/>
    <col min="11614" max="11614" width="24.88671875" style="285" customWidth="1"/>
    <col min="11615" max="11615" width="31.109375" style="285" customWidth="1"/>
    <col min="11616" max="11778" width="8.88671875" style="285"/>
    <col min="11779" max="11779" width="11.5546875" style="285" customWidth="1"/>
    <col min="11780" max="11869" width="1.5546875" style="285" customWidth="1"/>
    <col min="11870" max="11870" width="24.88671875" style="285" customWidth="1"/>
    <col min="11871" max="11871" width="31.109375" style="285" customWidth="1"/>
    <col min="11872" max="12034" width="8.88671875" style="285"/>
    <col min="12035" max="12035" width="11.5546875" style="285" customWidth="1"/>
    <col min="12036" max="12125" width="1.5546875" style="285" customWidth="1"/>
    <col min="12126" max="12126" width="24.88671875" style="285" customWidth="1"/>
    <col min="12127" max="12127" width="31.109375" style="285" customWidth="1"/>
    <col min="12128" max="12290" width="8.88671875" style="285"/>
    <col min="12291" max="12291" width="11.5546875" style="285" customWidth="1"/>
    <col min="12292" max="12381" width="1.5546875" style="285" customWidth="1"/>
    <col min="12382" max="12382" width="24.88671875" style="285" customWidth="1"/>
    <col min="12383" max="12383" width="31.109375" style="285" customWidth="1"/>
    <col min="12384" max="12546" width="8.88671875" style="285"/>
    <col min="12547" max="12547" width="11.5546875" style="285" customWidth="1"/>
    <col min="12548" max="12637" width="1.5546875" style="285" customWidth="1"/>
    <col min="12638" max="12638" width="24.88671875" style="285" customWidth="1"/>
    <col min="12639" max="12639" width="31.109375" style="285" customWidth="1"/>
    <col min="12640" max="12802" width="8.88671875" style="285"/>
    <col min="12803" max="12803" width="11.5546875" style="285" customWidth="1"/>
    <col min="12804" max="12893" width="1.5546875" style="285" customWidth="1"/>
    <col min="12894" max="12894" width="24.88671875" style="285" customWidth="1"/>
    <col min="12895" max="12895" width="31.109375" style="285" customWidth="1"/>
    <col min="12896" max="13058" width="8.88671875" style="285"/>
    <col min="13059" max="13059" width="11.5546875" style="285" customWidth="1"/>
    <col min="13060" max="13149" width="1.5546875" style="285" customWidth="1"/>
    <col min="13150" max="13150" width="24.88671875" style="285" customWidth="1"/>
    <col min="13151" max="13151" width="31.109375" style="285" customWidth="1"/>
    <col min="13152" max="13314" width="8.88671875" style="285"/>
    <col min="13315" max="13315" width="11.5546875" style="285" customWidth="1"/>
    <col min="13316" max="13405" width="1.5546875" style="285" customWidth="1"/>
    <col min="13406" max="13406" width="24.88671875" style="285" customWidth="1"/>
    <col min="13407" max="13407" width="31.109375" style="285" customWidth="1"/>
    <col min="13408" max="13570" width="8.88671875" style="285"/>
    <col min="13571" max="13571" width="11.5546875" style="285" customWidth="1"/>
    <col min="13572" max="13661" width="1.5546875" style="285" customWidth="1"/>
    <col min="13662" max="13662" width="24.88671875" style="285" customWidth="1"/>
    <col min="13663" max="13663" width="31.109375" style="285" customWidth="1"/>
    <col min="13664" max="13826" width="8.88671875" style="285"/>
    <col min="13827" max="13827" width="11.5546875" style="285" customWidth="1"/>
    <col min="13828" max="13917" width="1.5546875" style="285" customWidth="1"/>
    <col min="13918" max="13918" width="24.88671875" style="285" customWidth="1"/>
    <col min="13919" max="13919" width="31.109375" style="285" customWidth="1"/>
    <col min="13920" max="14082" width="8.88671875" style="285"/>
    <col min="14083" max="14083" width="11.5546875" style="285" customWidth="1"/>
    <col min="14084" max="14173" width="1.5546875" style="285" customWidth="1"/>
    <col min="14174" max="14174" width="24.88671875" style="285" customWidth="1"/>
    <col min="14175" max="14175" width="31.109375" style="285" customWidth="1"/>
    <col min="14176" max="14338" width="8.88671875" style="285"/>
    <col min="14339" max="14339" width="11.5546875" style="285" customWidth="1"/>
    <col min="14340" max="14429" width="1.5546875" style="285" customWidth="1"/>
    <col min="14430" max="14430" width="24.88671875" style="285" customWidth="1"/>
    <col min="14431" max="14431" width="31.109375" style="285" customWidth="1"/>
    <col min="14432" max="14594" width="8.88671875" style="285"/>
    <col min="14595" max="14595" width="11.5546875" style="285" customWidth="1"/>
    <col min="14596" max="14685" width="1.5546875" style="285" customWidth="1"/>
    <col min="14686" max="14686" width="24.88671875" style="285" customWidth="1"/>
    <col min="14687" max="14687" width="31.109375" style="285" customWidth="1"/>
    <col min="14688" max="14850" width="8.88671875" style="285"/>
    <col min="14851" max="14851" width="11.5546875" style="285" customWidth="1"/>
    <col min="14852" max="14941" width="1.5546875" style="285" customWidth="1"/>
    <col min="14942" max="14942" width="24.88671875" style="285" customWidth="1"/>
    <col min="14943" max="14943" width="31.109375" style="285" customWidth="1"/>
    <col min="14944" max="15106" width="8.88671875" style="285"/>
    <col min="15107" max="15107" width="11.5546875" style="285" customWidth="1"/>
    <col min="15108" max="15197" width="1.5546875" style="285" customWidth="1"/>
    <col min="15198" max="15198" width="24.88671875" style="285" customWidth="1"/>
    <col min="15199" max="15199" width="31.109375" style="285" customWidth="1"/>
    <col min="15200" max="15362" width="8.88671875" style="285"/>
    <col min="15363" max="15363" width="11.5546875" style="285" customWidth="1"/>
    <col min="15364" max="15453" width="1.5546875" style="285" customWidth="1"/>
    <col min="15454" max="15454" width="24.88671875" style="285" customWidth="1"/>
    <col min="15455" max="15455" width="31.109375" style="285" customWidth="1"/>
    <col min="15456" max="15618" width="8.88671875" style="285"/>
    <col min="15619" max="15619" width="11.5546875" style="285" customWidth="1"/>
    <col min="15620" max="15709" width="1.5546875" style="285" customWidth="1"/>
    <col min="15710" max="15710" width="24.88671875" style="285" customWidth="1"/>
    <col min="15711" max="15711" width="31.109375" style="285" customWidth="1"/>
    <col min="15712" max="15874" width="8.88671875" style="285"/>
    <col min="15875" max="15875" width="11.5546875" style="285" customWidth="1"/>
    <col min="15876" max="15965" width="1.5546875" style="285" customWidth="1"/>
    <col min="15966" max="15966" width="24.88671875" style="285" customWidth="1"/>
    <col min="15967" max="15967" width="31.109375" style="285" customWidth="1"/>
    <col min="15968" max="16130" width="8.88671875" style="285"/>
    <col min="16131" max="16131" width="11.5546875" style="285" customWidth="1"/>
    <col min="16132" max="16221" width="1.5546875" style="285" customWidth="1"/>
    <col min="16222" max="16222" width="24.88671875" style="285" customWidth="1"/>
    <col min="16223" max="16223" width="31.109375" style="285" customWidth="1"/>
    <col min="16224" max="16384" width="8.88671875" style="285"/>
  </cols>
  <sheetData>
    <row r="1" spans="1:95" s="266" customFormat="1" ht="70.5" customHeight="1">
      <c r="A1" s="513" t="s">
        <v>489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3"/>
      <c r="AH1" s="513"/>
      <c r="AI1" s="513"/>
      <c r="AJ1" s="513"/>
      <c r="AK1" s="513"/>
      <c r="AL1" s="513"/>
      <c r="AM1" s="513"/>
      <c r="AN1" s="513"/>
      <c r="AO1" s="513"/>
      <c r="AP1" s="513"/>
      <c r="AQ1" s="513"/>
      <c r="AR1" s="513"/>
      <c r="AS1" s="513"/>
      <c r="AT1" s="513"/>
      <c r="AU1" s="513"/>
      <c r="AV1" s="513"/>
      <c r="AW1" s="513"/>
      <c r="AX1" s="513"/>
      <c r="AY1" s="513"/>
      <c r="AZ1" s="513"/>
      <c r="BA1" s="513"/>
      <c r="BB1" s="513"/>
      <c r="BC1" s="513"/>
      <c r="BD1" s="513"/>
      <c r="BE1" s="513"/>
      <c r="BF1" s="513"/>
      <c r="BG1" s="513"/>
      <c r="BH1" s="513"/>
      <c r="BI1" s="513"/>
      <c r="BJ1" s="513"/>
      <c r="BK1" s="513"/>
      <c r="BL1" s="513"/>
      <c r="BM1" s="513"/>
      <c r="BN1" s="513"/>
      <c r="BO1" s="513"/>
      <c r="BP1" s="513"/>
      <c r="BQ1" s="513"/>
      <c r="BR1" s="513"/>
      <c r="BS1" s="513"/>
      <c r="BT1" s="513"/>
      <c r="BU1" s="513"/>
      <c r="BV1" s="513"/>
      <c r="BW1" s="513"/>
      <c r="BX1" s="513"/>
      <c r="BY1" s="513"/>
      <c r="BZ1" s="513"/>
      <c r="CA1" s="513"/>
      <c r="CB1" s="513"/>
      <c r="CC1" s="513"/>
      <c r="CD1" s="513"/>
      <c r="CE1" s="513"/>
      <c r="CF1" s="513"/>
      <c r="CG1" s="513"/>
      <c r="CH1" s="513"/>
      <c r="CI1" s="513"/>
      <c r="CJ1" s="513"/>
      <c r="CK1" s="513"/>
      <c r="CL1" s="513"/>
      <c r="CM1" s="513"/>
      <c r="CN1" s="513"/>
      <c r="CO1" s="513"/>
      <c r="CP1" s="513"/>
      <c r="CQ1" s="513"/>
    </row>
    <row r="2" spans="1:95" s="268" customFormat="1" ht="42.75" customHeight="1">
      <c r="A2" s="267"/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7"/>
      <c r="AD2" s="267"/>
      <c r="AE2" s="267"/>
      <c r="AF2" s="267"/>
      <c r="AG2" s="267"/>
      <c r="AH2" s="267"/>
      <c r="AI2" s="267"/>
      <c r="AJ2" s="267"/>
      <c r="AK2" s="267"/>
      <c r="AL2" s="267"/>
      <c r="AM2" s="267"/>
      <c r="AN2" s="267"/>
      <c r="AO2" s="267"/>
      <c r="AP2" s="267"/>
      <c r="AQ2" s="267"/>
      <c r="AR2" s="267"/>
      <c r="AS2" s="267"/>
      <c r="AT2" s="267"/>
      <c r="AU2" s="267"/>
      <c r="AV2" s="267"/>
      <c r="AW2" s="267"/>
      <c r="AX2" s="267"/>
      <c r="AY2" s="267"/>
      <c r="AZ2" s="267"/>
      <c r="BA2" s="267"/>
      <c r="BB2" s="267"/>
      <c r="BC2" s="267"/>
      <c r="BD2" s="267"/>
      <c r="BE2" s="267"/>
      <c r="BF2" s="267"/>
      <c r="BG2" s="267"/>
      <c r="BH2" s="267"/>
      <c r="BI2" s="267"/>
      <c r="BJ2" s="267"/>
      <c r="BK2" s="267"/>
      <c r="BL2" s="267"/>
      <c r="BM2" s="267"/>
      <c r="BN2" s="267"/>
      <c r="BO2" s="267"/>
      <c r="BP2" s="267"/>
      <c r="BQ2" s="267"/>
      <c r="BR2" s="267"/>
      <c r="BS2" s="267"/>
      <c r="BT2" s="267"/>
      <c r="BU2" s="267"/>
      <c r="BV2" s="267"/>
      <c r="BW2" s="267"/>
      <c r="BX2" s="267"/>
      <c r="BY2" s="267"/>
      <c r="BZ2" s="267"/>
      <c r="CA2" s="267"/>
      <c r="CB2" s="267"/>
      <c r="CC2" s="267"/>
      <c r="CD2" s="267"/>
      <c r="CE2" s="267"/>
      <c r="CF2" s="267"/>
      <c r="CG2" s="267"/>
      <c r="CH2" s="267"/>
      <c r="CI2" s="267"/>
      <c r="CJ2" s="267"/>
      <c r="CK2" s="267"/>
      <c r="CL2" s="267"/>
      <c r="CM2" s="267"/>
      <c r="CN2" s="267"/>
      <c r="CO2" s="267"/>
      <c r="CP2" s="267"/>
      <c r="CQ2" s="267"/>
    </row>
    <row r="3" spans="1:95" s="269" customFormat="1" ht="22.5" customHeight="1">
      <c r="A3" s="514" t="s">
        <v>487</v>
      </c>
      <c r="B3" s="514"/>
      <c r="C3" s="514"/>
      <c r="D3" s="514"/>
      <c r="E3" s="514"/>
      <c r="F3" s="514"/>
      <c r="G3" s="514"/>
      <c r="H3" s="514"/>
      <c r="I3" s="514"/>
      <c r="J3" s="514"/>
      <c r="K3" s="514"/>
      <c r="L3" s="514"/>
      <c r="M3" s="514"/>
      <c r="N3" s="514"/>
      <c r="O3" s="514"/>
      <c r="P3" s="514"/>
      <c r="Q3" s="514"/>
      <c r="R3" s="514"/>
      <c r="S3" s="514"/>
      <c r="T3" s="514"/>
      <c r="U3" s="514"/>
      <c r="V3" s="514"/>
      <c r="W3" s="514"/>
      <c r="X3" s="514"/>
      <c r="Y3" s="514"/>
      <c r="Z3" s="514"/>
      <c r="AA3" s="514"/>
      <c r="AB3" s="514"/>
      <c r="AC3" s="514"/>
      <c r="AD3" s="514"/>
      <c r="AE3" s="514"/>
      <c r="AF3" s="514"/>
      <c r="AG3" s="514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  <c r="AT3" s="514"/>
      <c r="AU3" s="514"/>
      <c r="AV3" s="514"/>
      <c r="AW3" s="514"/>
      <c r="AX3" s="514"/>
      <c r="AY3" s="514"/>
      <c r="AZ3" s="514"/>
      <c r="BA3" s="514"/>
      <c r="BB3" s="514"/>
      <c r="BC3" s="514"/>
      <c r="BD3" s="514"/>
      <c r="BE3" s="514"/>
      <c r="BF3" s="514"/>
      <c r="BG3" s="514"/>
      <c r="BH3" s="514"/>
      <c r="BI3" s="514"/>
      <c r="BJ3" s="514"/>
      <c r="BK3" s="514"/>
      <c r="BL3" s="514"/>
      <c r="BM3" s="514"/>
      <c r="BN3" s="514"/>
      <c r="BO3" s="514"/>
      <c r="BP3" s="514"/>
      <c r="BQ3" s="514"/>
      <c r="BR3" s="514"/>
      <c r="BS3" s="514"/>
      <c r="BT3" s="514"/>
      <c r="BU3" s="514"/>
      <c r="BV3" s="514"/>
      <c r="BW3" s="514"/>
      <c r="BX3" s="514"/>
      <c r="BY3" s="514"/>
      <c r="BZ3" s="514"/>
      <c r="CA3" s="514"/>
      <c r="CB3" s="514"/>
      <c r="CC3" s="514"/>
      <c r="CD3" s="514"/>
      <c r="CE3" s="514"/>
      <c r="CF3" s="514"/>
      <c r="CG3" s="514"/>
      <c r="CH3" s="514"/>
      <c r="CI3" s="514"/>
      <c r="CJ3" s="514"/>
      <c r="CK3" s="514"/>
      <c r="CL3" s="514"/>
      <c r="CM3" s="514"/>
      <c r="CN3" s="514"/>
      <c r="CO3" s="514"/>
      <c r="CP3" s="514"/>
      <c r="CQ3" s="514"/>
    </row>
    <row r="4" spans="1:95" s="269" customFormat="1" ht="22.5" customHeight="1">
      <c r="A4" s="514" t="s">
        <v>431</v>
      </c>
      <c r="B4" s="514"/>
      <c r="C4" s="514"/>
      <c r="D4" s="514"/>
      <c r="E4" s="514"/>
      <c r="F4" s="514"/>
      <c r="G4" s="514"/>
      <c r="H4" s="514"/>
      <c r="I4" s="514"/>
      <c r="J4" s="514"/>
      <c r="K4" s="514"/>
      <c r="L4" s="514"/>
      <c r="M4" s="514"/>
      <c r="N4" s="514"/>
      <c r="O4" s="514"/>
      <c r="P4" s="514"/>
      <c r="Q4" s="514"/>
      <c r="R4" s="514"/>
      <c r="S4" s="514"/>
      <c r="T4" s="514"/>
      <c r="U4" s="514"/>
      <c r="V4" s="514"/>
      <c r="W4" s="514"/>
      <c r="X4" s="514"/>
      <c r="Y4" s="514"/>
      <c r="Z4" s="514"/>
      <c r="AA4" s="514"/>
      <c r="AB4" s="514"/>
      <c r="AC4" s="514"/>
      <c r="AD4" s="514"/>
      <c r="AE4" s="514"/>
      <c r="AF4" s="514"/>
      <c r="AG4" s="514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  <c r="AT4" s="514"/>
      <c r="AU4" s="514"/>
      <c r="AV4" s="514"/>
      <c r="AW4" s="514"/>
      <c r="AX4" s="514"/>
      <c r="AY4" s="514"/>
      <c r="AZ4" s="514"/>
      <c r="BA4" s="514"/>
      <c r="BB4" s="514"/>
      <c r="BC4" s="514"/>
      <c r="BD4" s="514"/>
      <c r="BE4" s="514"/>
      <c r="BF4" s="514"/>
      <c r="BG4" s="514"/>
      <c r="BH4" s="514"/>
      <c r="BI4" s="514"/>
      <c r="BJ4" s="514"/>
      <c r="BK4" s="514"/>
      <c r="BL4" s="514"/>
      <c r="BM4" s="514"/>
      <c r="BN4" s="514"/>
      <c r="BO4" s="514"/>
      <c r="BP4" s="514"/>
      <c r="BQ4" s="514"/>
      <c r="BR4" s="514"/>
      <c r="BS4" s="514"/>
      <c r="BT4" s="514"/>
      <c r="BU4" s="514"/>
      <c r="BV4" s="514"/>
      <c r="BW4" s="514"/>
      <c r="BX4" s="514"/>
      <c r="BY4" s="514"/>
      <c r="BZ4" s="514"/>
      <c r="CA4" s="514"/>
      <c r="CB4" s="514"/>
      <c r="CC4" s="514"/>
      <c r="CD4" s="514"/>
      <c r="CE4" s="514"/>
      <c r="CF4" s="514"/>
      <c r="CG4" s="514"/>
      <c r="CH4" s="514"/>
      <c r="CI4" s="514"/>
      <c r="CJ4" s="514"/>
      <c r="CK4" s="514"/>
      <c r="CL4" s="514"/>
      <c r="CM4" s="514"/>
      <c r="CN4" s="514"/>
      <c r="CO4" s="514"/>
      <c r="CP4" s="514"/>
      <c r="CQ4" s="514"/>
    </row>
    <row r="5" spans="1:95" s="269" customFormat="1" ht="22.5" customHeight="1">
      <c r="A5" s="514" t="s">
        <v>432</v>
      </c>
      <c r="B5" s="514"/>
      <c r="C5" s="514"/>
      <c r="D5" s="514"/>
      <c r="E5" s="514"/>
      <c r="F5" s="514"/>
      <c r="G5" s="514"/>
      <c r="H5" s="514"/>
      <c r="I5" s="514"/>
      <c r="J5" s="514"/>
      <c r="K5" s="514"/>
      <c r="L5" s="514"/>
      <c r="M5" s="514"/>
      <c r="N5" s="514"/>
      <c r="O5" s="514"/>
      <c r="P5" s="514"/>
      <c r="Q5" s="514"/>
      <c r="R5" s="514"/>
      <c r="S5" s="514"/>
      <c r="T5" s="514"/>
      <c r="U5" s="514"/>
      <c r="V5" s="514"/>
      <c r="W5" s="514"/>
      <c r="X5" s="514"/>
      <c r="Y5" s="514"/>
      <c r="Z5" s="514"/>
      <c r="AA5" s="514"/>
      <c r="AB5" s="514"/>
      <c r="AC5" s="514"/>
      <c r="AD5" s="514"/>
      <c r="AE5" s="514"/>
      <c r="AF5" s="514"/>
      <c r="AG5" s="514"/>
      <c r="AH5" s="514"/>
      <c r="AI5" s="514"/>
      <c r="AJ5" s="514"/>
      <c r="AK5" s="514"/>
      <c r="AL5" s="514"/>
      <c r="AM5" s="514"/>
      <c r="AN5" s="514"/>
      <c r="AO5" s="514"/>
      <c r="AP5" s="514"/>
      <c r="AQ5" s="514"/>
      <c r="AR5" s="514"/>
      <c r="AS5" s="514"/>
      <c r="AT5" s="514"/>
      <c r="AU5" s="514"/>
      <c r="AV5" s="514"/>
      <c r="AW5" s="514"/>
      <c r="AX5" s="514"/>
      <c r="AY5" s="514"/>
      <c r="AZ5" s="514"/>
      <c r="BA5" s="514"/>
      <c r="BB5" s="514"/>
      <c r="BC5" s="514"/>
      <c r="BD5" s="514"/>
      <c r="BE5" s="514"/>
      <c r="BF5" s="514"/>
      <c r="BG5" s="514"/>
      <c r="BH5" s="514"/>
      <c r="BI5" s="514"/>
      <c r="BJ5" s="514"/>
      <c r="BK5" s="514"/>
      <c r="BL5" s="514"/>
      <c r="BM5" s="514"/>
      <c r="BN5" s="514"/>
      <c r="BO5" s="514"/>
      <c r="BP5" s="514"/>
      <c r="BQ5" s="514"/>
      <c r="BR5" s="514"/>
      <c r="BS5" s="514"/>
      <c r="BT5" s="514"/>
      <c r="BU5" s="514"/>
      <c r="BV5" s="514"/>
      <c r="BW5" s="514"/>
      <c r="BX5" s="514"/>
      <c r="BY5" s="514"/>
      <c r="BZ5" s="514"/>
      <c r="CA5" s="514"/>
      <c r="CB5" s="514"/>
      <c r="CC5" s="514"/>
      <c r="CD5" s="514"/>
      <c r="CE5" s="514"/>
      <c r="CF5" s="514"/>
      <c r="CG5" s="514"/>
      <c r="CH5" s="514"/>
      <c r="CI5" s="514"/>
      <c r="CJ5" s="514"/>
      <c r="CK5" s="514"/>
      <c r="CL5" s="514"/>
      <c r="CM5" s="514"/>
      <c r="CN5" s="514"/>
      <c r="CO5" s="514"/>
      <c r="CP5" s="514"/>
      <c r="CQ5" s="514"/>
    </row>
    <row r="6" spans="1:95" s="269" customFormat="1" ht="15" customHeight="1" thickBot="1">
      <c r="A6" s="270"/>
      <c r="B6" s="270"/>
      <c r="C6" s="270"/>
      <c r="D6" s="270"/>
      <c r="E6" s="270"/>
      <c r="F6" s="270"/>
      <c r="G6" s="270"/>
      <c r="H6" s="270"/>
      <c r="I6" s="270"/>
      <c r="J6" s="270"/>
      <c r="K6" s="270"/>
      <c r="L6" s="270"/>
      <c r="M6" s="270"/>
      <c r="N6" s="270"/>
      <c r="O6" s="270"/>
      <c r="P6" s="270"/>
      <c r="Q6" s="270"/>
      <c r="R6" s="270"/>
      <c r="S6" s="270"/>
      <c r="T6" s="270"/>
      <c r="U6" s="270"/>
      <c r="V6" s="270"/>
      <c r="W6" s="270"/>
      <c r="X6" s="270"/>
      <c r="Y6" s="270"/>
      <c r="Z6" s="270"/>
      <c r="AA6" s="270"/>
      <c r="AB6" s="270"/>
      <c r="AC6" s="270"/>
      <c r="AD6" s="270"/>
      <c r="AE6" s="270"/>
      <c r="AF6" s="270"/>
      <c r="AG6" s="270"/>
      <c r="AH6" s="270"/>
      <c r="AI6" s="270"/>
      <c r="AJ6" s="270"/>
      <c r="AK6" s="270"/>
      <c r="AL6" s="270"/>
      <c r="AM6" s="270"/>
      <c r="AN6" s="270"/>
      <c r="AO6" s="270"/>
      <c r="AP6" s="270"/>
      <c r="AQ6" s="270"/>
      <c r="AR6" s="270"/>
      <c r="AS6" s="270"/>
      <c r="AT6" s="270"/>
      <c r="AU6" s="270"/>
      <c r="AV6" s="270"/>
      <c r="AW6" s="270"/>
      <c r="AX6" s="270"/>
      <c r="AY6" s="270"/>
      <c r="AZ6" s="270"/>
      <c r="BA6" s="270"/>
      <c r="BB6" s="270"/>
      <c r="BC6" s="270"/>
      <c r="BD6" s="270"/>
      <c r="BE6" s="270"/>
      <c r="BF6" s="270"/>
      <c r="BG6" s="270"/>
      <c r="BH6" s="270"/>
      <c r="BI6" s="270"/>
      <c r="BJ6" s="270"/>
      <c r="BK6" s="270"/>
      <c r="BL6" s="270"/>
      <c r="BM6" s="270"/>
      <c r="BN6" s="270"/>
      <c r="BO6" s="270"/>
      <c r="BP6" s="270"/>
      <c r="BQ6" s="270"/>
      <c r="BR6" s="270"/>
      <c r="BS6" s="270"/>
      <c r="BT6" s="270"/>
      <c r="BU6" s="270"/>
      <c r="BV6" s="270"/>
      <c r="BW6" s="270"/>
      <c r="BX6" s="270"/>
      <c r="BY6" s="270"/>
      <c r="BZ6" s="270"/>
      <c r="CA6" s="270"/>
      <c r="CB6" s="270"/>
      <c r="CC6" s="270"/>
      <c r="CD6" s="270"/>
      <c r="CE6" s="270"/>
      <c r="CF6" s="270"/>
      <c r="CG6" s="270"/>
      <c r="CH6" s="270"/>
      <c r="CI6" s="270"/>
      <c r="CJ6" s="270"/>
      <c r="CK6" s="270"/>
      <c r="CL6" s="270"/>
      <c r="CM6" s="270"/>
      <c r="CN6" s="270"/>
      <c r="CO6" s="270"/>
      <c r="CP6" s="270"/>
      <c r="CQ6" s="270"/>
    </row>
    <row r="7" spans="1:95" s="271" customFormat="1" ht="30" customHeight="1">
      <c r="A7" s="308" t="s">
        <v>251</v>
      </c>
      <c r="B7" s="529" t="s">
        <v>250</v>
      </c>
      <c r="C7" s="530"/>
      <c r="D7" s="530"/>
      <c r="E7" s="530"/>
      <c r="F7" s="530"/>
      <c r="G7" s="531"/>
      <c r="H7" s="529" t="s">
        <v>249</v>
      </c>
      <c r="I7" s="530"/>
      <c r="J7" s="530"/>
      <c r="K7" s="530"/>
      <c r="L7" s="530"/>
      <c r="M7" s="530"/>
      <c r="N7" s="530"/>
      <c r="O7" s="530"/>
      <c r="P7" s="530"/>
      <c r="Q7" s="530"/>
      <c r="R7" s="530"/>
      <c r="S7" s="530"/>
      <c r="T7" s="530"/>
      <c r="U7" s="530"/>
      <c r="V7" s="530"/>
      <c r="W7" s="530"/>
      <c r="X7" s="530"/>
      <c r="Y7" s="530"/>
      <c r="Z7" s="530"/>
      <c r="AA7" s="530"/>
      <c r="AB7" s="530"/>
      <c r="AC7" s="530"/>
      <c r="AD7" s="530"/>
      <c r="AE7" s="530"/>
      <c r="AF7" s="530"/>
      <c r="AG7" s="530"/>
      <c r="AH7" s="530"/>
      <c r="AI7" s="530"/>
      <c r="AJ7" s="530"/>
      <c r="AK7" s="530"/>
      <c r="AL7" s="530"/>
      <c r="AM7" s="530"/>
      <c r="AN7" s="530"/>
      <c r="AO7" s="530"/>
      <c r="AP7" s="530"/>
      <c r="AQ7" s="531"/>
      <c r="AR7" s="529" t="s">
        <v>248</v>
      </c>
      <c r="AS7" s="530"/>
      <c r="AT7" s="530"/>
      <c r="AU7" s="530"/>
      <c r="AV7" s="530"/>
      <c r="AW7" s="530"/>
      <c r="AX7" s="530"/>
      <c r="AY7" s="530"/>
      <c r="AZ7" s="530"/>
      <c r="BA7" s="530"/>
      <c r="BB7" s="530"/>
      <c r="BC7" s="530"/>
      <c r="BD7" s="530"/>
      <c r="BE7" s="530"/>
      <c r="BF7" s="530"/>
      <c r="BG7" s="530"/>
      <c r="BH7" s="530"/>
      <c r="BI7" s="530"/>
      <c r="BJ7" s="530"/>
      <c r="BK7" s="530"/>
      <c r="BL7" s="530"/>
      <c r="BM7" s="530"/>
      <c r="BN7" s="530"/>
      <c r="BO7" s="530"/>
      <c r="BP7" s="530"/>
      <c r="BQ7" s="530"/>
      <c r="BR7" s="530"/>
      <c r="BS7" s="530"/>
      <c r="BT7" s="530"/>
      <c r="BU7" s="530"/>
      <c r="BV7" s="530"/>
      <c r="BW7" s="530"/>
      <c r="BX7" s="530"/>
      <c r="BY7" s="530"/>
      <c r="BZ7" s="530"/>
      <c r="CA7" s="531"/>
      <c r="CB7" s="529" t="s">
        <v>433</v>
      </c>
      <c r="CC7" s="530"/>
      <c r="CD7" s="530"/>
      <c r="CE7" s="530"/>
      <c r="CF7" s="530"/>
      <c r="CG7" s="530"/>
      <c r="CH7" s="530"/>
      <c r="CI7" s="530"/>
      <c r="CJ7" s="530"/>
      <c r="CK7" s="530"/>
      <c r="CL7" s="530"/>
      <c r="CM7" s="530"/>
      <c r="CN7" s="530"/>
      <c r="CO7" s="530"/>
      <c r="CP7" s="531"/>
      <c r="CQ7" s="515" t="s">
        <v>247</v>
      </c>
    </row>
    <row r="8" spans="1:95" s="271" customFormat="1" ht="30" customHeight="1">
      <c r="A8" s="272" t="s">
        <v>246</v>
      </c>
      <c r="B8" s="510" t="s">
        <v>444</v>
      </c>
      <c r="C8" s="507"/>
      <c r="D8" s="508"/>
      <c r="E8" s="506" t="s">
        <v>445</v>
      </c>
      <c r="F8" s="507"/>
      <c r="G8" s="509"/>
      <c r="H8" s="510" t="s">
        <v>446</v>
      </c>
      <c r="I8" s="507"/>
      <c r="J8" s="508"/>
      <c r="K8" s="506" t="s">
        <v>447</v>
      </c>
      <c r="L8" s="507"/>
      <c r="M8" s="508"/>
      <c r="N8" s="506" t="s">
        <v>448</v>
      </c>
      <c r="O8" s="507"/>
      <c r="P8" s="508"/>
      <c r="Q8" s="506" t="s">
        <v>449</v>
      </c>
      <c r="R8" s="507"/>
      <c r="S8" s="508"/>
      <c r="T8" s="506" t="s">
        <v>450</v>
      </c>
      <c r="U8" s="507"/>
      <c r="V8" s="508"/>
      <c r="W8" s="506" t="s">
        <v>451</v>
      </c>
      <c r="X8" s="507"/>
      <c r="Y8" s="508"/>
      <c r="Z8" s="506" t="s">
        <v>452</v>
      </c>
      <c r="AA8" s="507"/>
      <c r="AB8" s="508"/>
      <c r="AC8" s="506" t="s">
        <v>453</v>
      </c>
      <c r="AD8" s="507"/>
      <c r="AE8" s="508"/>
      <c r="AF8" s="506" t="s">
        <v>454</v>
      </c>
      <c r="AG8" s="507"/>
      <c r="AH8" s="508"/>
      <c r="AI8" s="506" t="s">
        <v>455</v>
      </c>
      <c r="AJ8" s="507"/>
      <c r="AK8" s="508"/>
      <c r="AL8" s="506" t="s">
        <v>443</v>
      </c>
      <c r="AM8" s="507"/>
      <c r="AN8" s="508"/>
      <c r="AO8" s="506" t="s">
        <v>445</v>
      </c>
      <c r="AP8" s="507"/>
      <c r="AQ8" s="509"/>
      <c r="AR8" s="510" t="s">
        <v>446</v>
      </c>
      <c r="AS8" s="507"/>
      <c r="AT8" s="508"/>
      <c r="AU8" s="506" t="s">
        <v>447</v>
      </c>
      <c r="AV8" s="507"/>
      <c r="AW8" s="508"/>
      <c r="AX8" s="506" t="s">
        <v>448</v>
      </c>
      <c r="AY8" s="507"/>
      <c r="AZ8" s="508"/>
      <c r="BA8" s="506" t="s">
        <v>449</v>
      </c>
      <c r="BB8" s="507"/>
      <c r="BC8" s="508"/>
      <c r="BD8" s="506" t="s">
        <v>450</v>
      </c>
      <c r="BE8" s="507"/>
      <c r="BF8" s="508"/>
      <c r="BG8" s="506" t="s">
        <v>451</v>
      </c>
      <c r="BH8" s="507"/>
      <c r="BI8" s="508"/>
      <c r="BJ8" s="506" t="s">
        <v>452</v>
      </c>
      <c r="BK8" s="507"/>
      <c r="BL8" s="508"/>
      <c r="BM8" s="506" t="s">
        <v>453</v>
      </c>
      <c r="BN8" s="507"/>
      <c r="BO8" s="508"/>
      <c r="BP8" s="506" t="s">
        <v>454</v>
      </c>
      <c r="BQ8" s="507"/>
      <c r="BR8" s="508"/>
      <c r="BS8" s="506" t="s">
        <v>455</v>
      </c>
      <c r="BT8" s="507"/>
      <c r="BU8" s="508"/>
      <c r="BV8" s="506" t="s">
        <v>443</v>
      </c>
      <c r="BW8" s="507"/>
      <c r="BX8" s="508"/>
      <c r="BY8" s="506" t="s">
        <v>445</v>
      </c>
      <c r="BZ8" s="507"/>
      <c r="CA8" s="509"/>
      <c r="CB8" s="510" t="s">
        <v>446</v>
      </c>
      <c r="CC8" s="507"/>
      <c r="CD8" s="508"/>
      <c r="CE8" s="506" t="s">
        <v>447</v>
      </c>
      <c r="CF8" s="507"/>
      <c r="CG8" s="508"/>
      <c r="CH8" s="506" t="s">
        <v>448</v>
      </c>
      <c r="CI8" s="507"/>
      <c r="CJ8" s="508"/>
      <c r="CK8" s="506" t="s">
        <v>449</v>
      </c>
      <c r="CL8" s="507"/>
      <c r="CM8" s="508"/>
      <c r="CN8" s="506" t="s">
        <v>450</v>
      </c>
      <c r="CO8" s="507"/>
      <c r="CP8" s="508"/>
      <c r="CQ8" s="516"/>
    </row>
    <row r="9" spans="1:95" s="271" customFormat="1" ht="30" customHeight="1" thickBot="1">
      <c r="A9" s="315" t="s">
        <v>245</v>
      </c>
      <c r="B9" s="520" t="s">
        <v>456</v>
      </c>
      <c r="C9" s="521"/>
      <c r="D9" s="522"/>
      <c r="E9" s="523" t="s">
        <v>457</v>
      </c>
      <c r="F9" s="521"/>
      <c r="G9" s="521"/>
      <c r="H9" s="524" t="s">
        <v>458</v>
      </c>
      <c r="I9" s="511"/>
      <c r="J9" s="511"/>
      <c r="K9" s="511" t="s">
        <v>459</v>
      </c>
      <c r="L9" s="511"/>
      <c r="M9" s="511"/>
      <c r="N9" s="511" t="s">
        <v>460</v>
      </c>
      <c r="O9" s="511"/>
      <c r="P9" s="511"/>
      <c r="Q9" s="511" t="s">
        <v>461</v>
      </c>
      <c r="R9" s="511"/>
      <c r="S9" s="511"/>
      <c r="T9" s="511" t="s">
        <v>462</v>
      </c>
      <c r="U9" s="511"/>
      <c r="V9" s="511"/>
      <c r="W9" s="511" t="s">
        <v>463</v>
      </c>
      <c r="X9" s="511"/>
      <c r="Y9" s="511"/>
      <c r="Z9" s="511" t="s">
        <v>464</v>
      </c>
      <c r="AA9" s="511"/>
      <c r="AB9" s="511"/>
      <c r="AC9" s="511" t="s">
        <v>465</v>
      </c>
      <c r="AD9" s="511"/>
      <c r="AE9" s="511"/>
      <c r="AF9" s="511" t="s">
        <v>466</v>
      </c>
      <c r="AG9" s="511"/>
      <c r="AH9" s="511"/>
      <c r="AI9" s="511" t="s">
        <v>467</v>
      </c>
      <c r="AJ9" s="511"/>
      <c r="AK9" s="511"/>
      <c r="AL9" s="511" t="s">
        <v>468</v>
      </c>
      <c r="AM9" s="511"/>
      <c r="AN9" s="511"/>
      <c r="AO9" s="511" t="s">
        <v>469</v>
      </c>
      <c r="AP9" s="511"/>
      <c r="AQ9" s="519"/>
      <c r="AR9" s="524" t="s">
        <v>470</v>
      </c>
      <c r="AS9" s="511"/>
      <c r="AT9" s="511"/>
      <c r="AU9" s="511" t="s">
        <v>471</v>
      </c>
      <c r="AV9" s="511"/>
      <c r="AW9" s="511"/>
      <c r="AX9" s="511" t="s">
        <v>472</v>
      </c>
      <c r="AY9" s="511"/>
      <c r="AZ9" s="511"/>
      <c r="BA9" s="511" t="s">
        <v>473</v>
      </c>
      <c r="BB9" s="511"/>
      <c r="BC9" s="511"/>
      <c r="BD9" s="511" t="s">
        <v>474</v>
      </c>
      <c r="BE9" s="511"/>
      <c r="BF9" s="511"/>
      <c r="BG9" s="511" t="s">
        <v>475</v>
      </c>
      <c r="BH9" s="511"/>
      <c r="BI9" s="511"/>
      <c r="BJ9" s="511" t="s">
        <v>476</v>
      </c>
      <c r="BK9" s="511"/>
      <c r="BL9" s="511"/>
      <c r="BM9" s="511" t="s">
        <v>477</v>
      </c>
      <c r="BN9" s="511"/>
      <c r="BO9" s="511"/>
      <c r="BP9" s="511" t="s">
        <v>478</v>
      </c>
      <c r="BQ9" s="511"/>
      <c r="BR9" s="511"/>
      <c r="BS9" s="511" t="s">
        <v>479</v>
      </c>
      <c r="BT9" s="511"/>
      <c r="BU9" s="511"/>
      <c r="BV9" s="511" t="s">
        <v>480</v>
      </c>
      <c r="BW9" s="511"/>
      <c r="BX9" s="511"/>
      <c r="BY9" s="511" t="s">
        <v>481</v>
      </c>
      <c r="BZ9" s="511"/>
      <c r="CA9" s="511"/>
      <c r="CB9" s="511" t="s">
        <v>482</v>
      </c>
      <c r="CC9" s="511"/>
      <c r="CD9" s="511"/>
      <c r="CE9" s="511" t="s">
        <v>483</v>
      </c>
      <c r="CF9" s="511"/>
      <c r="CG9" s="511"/>
      <c r="CH9" s="511" t="s">
        <v>484</v>
      </c>
      <c r="CI9" s="511"/>
      <c r="CJ9" s="511"/>
      <c r="CK9" s="511" t="s">
        <v>485</v>
      </c>
      <c r="CL9" s="511"/>
      <c r="CM9" s="511"/>
      <c r="CN9" s="511" t="s">
        <v>486</v>
      </c>
      <c r="CO9" s="511"/>
      <c r="CP9" s="519"/>
      <c r="CQ9" s="517"/>
    </row>
    <row r="10" spans="1:95" s="271" customFormat="1" ht="21.75" customHeight="1" thickTop="1">
      <c r="A10" s="518" t="s">
        <v>244</v>
      </c>
      <c r="B10" s="278"/>
      <c r="C10" s="273"/>
      <c r="D10" s="289"/>
      <c r="E10" s="288"/>
      <c r="F10" s="273"/>
      <c r="G10" s="275"/>
      <c r="H10" s="278"/>
      <c r="I10" s="273"/>
      <c r="J10" s="289"/>
      <c r="K10" s="288"/>
      <c r="L10" s="273"/>
      <c r="M10" s="289"/>
      <c r="N10" s="288"/>
      <c r="O10" s="273"/>
      <c r="P10" s="289"/>
      <c r="Q10" s="288"/>
      <c r="R10" s="273"/>
      <c r="S10" s="289"/>
      <c r="T10" s="288"/>
      <c r="U10" s="273"/>
      <c r="V10" s="289"/>
      <c r="W10" s="273"/>
      <c r="X10" s="273"/>
      <c r="Y10" s="289"/>
      <c r="Z10" s="288"/>
      <c r="AA10" s="273"/>
      <c r="AB10" s="289"/>
      <c r="AC10" s="288"/>
      <c r="AD10" s="273"/>
      <c r="AE10" s="289"/>
      <c r="AF10" s="288"/>
      <c r="AG10" s="273"/>
      <c r="AH10" s="289"/>
      <c r="AI10" s="288"/>
      <c r="AJ10" s="273"/>
      <c r="AK10" s="289"/>
      <c r="AL10" s="273"/>
      <c r="AM10" s="273"/>
      <c r="AN10" s="289"/>
      <c r="AO10" s="288"/>
      <c r="AP10" s="273"/>
      <c r="AQ10" s="275"/>
      <c r="AR10" s="278"/>
      <c r="AS10" s="273"/>
      <c r="AT10" s="289"/>
      <c r="AU10" s="288"/>
      <c r="AV10" s="273"/>
      <c r="AW10" s="289"/>
      <c r="AX10" s="288"/>
      <c r="AY10" s="273"/>
      <c r="AZ10" s="289"/>
      <c r="BA10" s="288"/>
      <c r="BB10" s="273"/>
      <c r="BC10" s="289"/>
      <c r="BD10" s="288"/>
      <c r="BE10" s="273"/>
      <c r="BF10" s="289"/>
      <c r="BG10" s="273"/>
      <c r="BH10" s="273"/>
      <c r="BI10" s="289"/>
      <c r="BJ10" s="288"/>
      <c r="BK10" s="273"/>
      <c r="BL10" s="289"/>
      <c r="BM10" s="288"/>
      <c r="BN10" s="273"/>
      <c r="BO10" s="289"/>
      <c r="BP10" s="288"/>
      <c r="BQ10" s="273"/>
      <c r="BR10" s="289"/>
      <c r="BS10" s="288"/>
      <c r="BT10" s="273"/>
      <c r="BU10" s="289"/>
      <c r="BV10" s="273"/>
      <c r="BW10" s="273"/>
      <c r="BX10" s="289"/>
      <c r="BY10" s="288"/>
      <c r="BZ10" s="273"/>
      <c r="CA10" s="275"/>
      <c r="CB10" s="273"/>
      <c r="CC10" s="273"/>
      <c r="CD10" s="289"/>
      <c r="CE10" s="288"/>
      <c r="CF10" s="273"/>
      <c r="CG10" s="289"/>
      <c r="CH10" s="288"/>
      <c r="CI10" s="273"/>
      <c r="CJ10" s="289"/>
      <c r="CK10" s="288"/>
      <c r="CL10" s="273"/>
      <c r="CM10" s="289"/>
      <c r="CN10" s="288"/>
      <c r="CO10" s="273"/>
      <c r="CP10" s="273"/>
      <c r="CQ10" s="512" t="s">
        <v>434</v>
      </c>
    </row>
    <row r="11" spans="1:95" s="271" customFormat="1" ht="21.75" customHeight="1">
      <c r="A11" s="518"/>
      <c r="B11" s="311"/>
      <c r="C11" s="309"/>
      <c r="D11" s="312"/>
      <c r="E11" s="313"/>
      <c r="F11" s="309"/>
      <c r="G11" s="310"/>
      <c r="H11" s="311"/>
      <c r="I11" s="309"/>
      <c r="J11" s="312"/>
      <c r="K11" s="313"/>
      <c r="L11" s="309"/>
      <c r="M11" s="312"/>
      <c r="N11" s="313"/>
      <c r="O11" s="309"/>
      <c r="P11" s="312"/>
      <c r="Q11" s="313"/>
      <c r="R11" s="309"/>
      <c r="S11" s="312"/>
      <c r="T11" s="313"/>
      <c r="U11" s="309"/>
      <c r="V11" s="312"/>
      <c r="W11" s="309"/>
      <c r="X11" s="309"/>
      <c r="Y11" s="312"/>
      <c r="Z11" s="313"/>
      <c r="AA11" s="309"/>
      <c r="AB11" s="312"/>
      <c r="AC11" s="313"/>
      <c r="AD11" s="309"/>
      <c r="AE11" s="312"/>
      <c r="AF11" s="313"/>
      <c r="AG11" s="309"/>
      <c r="AH11" s="312"/>
      <c r="AI11" s="313"/>
      <c r="AJ11" s="309"/>
      <c r="AK11" s="312"/>
      <c r="AL11" s="309"/>
      <c r="AM11" s="309"/>
      <c r="AN11" s="312"/>
      <c r="AO11" s="313"/>
      <c r="AP11" s="309"/>
      <c r="AQ11" s="310"/>
      <c r="AR11" s="311"/>
      <c r="AS11" s="309"/>
      <c r="AT11" s="312"/>
      <c r="AU11" s="313"/>
      <c r="AV11" s="309"/>
      <c r="AW11" s="312"/>
      <c r="AX11" s="313"/>
      <c r="AY11" s="309"/>
      <c r="AZ11" s="312"/>
      <c r="BA11" s="313"/>
      <c r="BB11" s="309"/>
      <c r="BC11" s="312"/>
      <c r="BD11" s="313"/>
      <c r="BE11" s="309"/>
      <c r="BF11" s="312"/>
      <c r="BG11" s="309"/>
      <c r="BH11" s="309"/>
      <c r="BI11" s="312"/>
      <c r="BJ11" s="313"/>
      <c r="BK11" s="309"/>
      <c r="BL11" s="312"/>
      <c r="BM11" s="313"/>
      <c r="BN11" s="309"/>
      <c r="BO11" s="312"/>
      <c r="BP11" s="313"/>
      <c r="BQ11" s="309"/>
      <c r="BR11" s="312"/>
      <c r="BS11" s="313"/>
      <c r="BT11" s="309"/>
      <c r="BU11" s="312"/>
      <c r="BV11" s="309"/>
      <c r="BW11" s="309"/>
      <c r="BX11" s="312"/>
      <c r="BY11" s="313"/>
      <c r="BZ11" s="309"/>
      <c r="CA11" s="310"/>
      <c r="CB11" s="309"/>
      <c r="CC11" s="309"/>
      <c r="CD11" s="312"/>
      <c r="CE11" s="313"/>
      <c r="CF11" s="309"/>
      <c r="CG11" s="312"/>
      <c r="CH11" s="313"/>
      <c r="CI11" s="309"/>
      <c r="CJ11" s="312"/>
      <c r="CK11" s="313"/>
      <c r="CL11" s="309"/>
      <c r="CM11" s="312"/>
      <c r="CN11" s="313"/>
      <c r="CO11" s="309"/>
      <c r="CP11" s="309"/>
      <c r="CQ11" s="512"/>
    </row>
    <row r="12" spans="1:95" s="271" customFormat="1" ht="21.75" customHeight="1">
      <c r="A12" s="518"/>
      <c r="B12" s="295"/>
      <c r="C12" s="276"/>
      <c r="D12" s="294"/>
      <c r="E12" s="293"/>
      <c r="F12" s="276"/>
      <c r="G12" s="277"/>
      <c r="H12" s="295"/>
      <c r="I12" s="276"/>
      <c r="J12" s="294"/>
      <c r="K12" s="293"/>
      <c r="L12" s="276"/>
      <c r="M12" s="294"/>
      <c r="N12" s="293"/>
      <c r="O12" s="276"/>
      <c r="P12" s="294"/>
      <c r="Q12" s="293"/>
      <c r="R12" s="276"/>
      <c r="S12" s="294"/>
      <c r="T12" s="293"/>
      <c r="U12" s="276"/>
      <c r="V12" s="294"/>
      <c r="W12" s="276"/>
      <c r="X12" s="276"/>
      <c r="Y12" s="294"/>
      <c r="Z12" s="293"/>
      <c r="AA12" s="276"/>
      <c r="AB12" s="294"/>
      <c r="AC12" s="293"/>
      <c r="AD12" s="276"/>
      <c r="AE12" s="294"/>
      <c r="AF12" s="293"/>
      <c r="AG12" s="276"/>
      <c r="AH12" s="294"/>
      <c r="AI12" s="293"/>
      <c r="AJ12" s="276"/>
      <c r="AK12" s="294"/>
      <c r="AL12" s="276"/>
      <c r="AM12" s="276"/>
      <c r="AN12" s="294"/>
      <c r="AO12" s="293"/>
      <c r="AP12" s="276"/>
      <c r="AQ12" s="277"/>
      <c r="AR12" s="295"/>
      <c r="AS12" s="276"/>
      <c r="AT12" s="294"/>
      <c r="AU12" s="293"/>
      <c r="AV12" s="276"/>
      <c r="AW12" s="294"/>
      <c r="AX12" s="293"/>
      <c r="AY12" s="276"/>
      <c r="AZ12" s="294"/>
      <c r="BA12" s="293"/>
      <c r="BB12" s="276"/>
      <c r="BC12" s="294"/>
      <c r="BD12" s="293"/>
      <c r="BE12" s="276"/>
      <c r="BF12" s="294"/>
      <c r="BG12" s="276"/>
      <c r="BH12" s="276"/>
      <c r="BI12" s="294"/>
      <c r="BJ12" s="293"/>
      <c r="BK12" s="276"/>
      <c r="BL12" s="294"/>
      <c r="BM12" s="293"/>
      <c r="BN12" s="276"/>
      <c r="BO12" s="294"/>
      <c r="BP12" s="293"/>
      <c r="BQ12" s="276"/>
      <c r="BR12" s="294"/>
      <c r="BS12" s="293"/>
      <c r="BT12" s="276"/>
      <c r="BU12" s="294"/>
      <c r="BV12" s="273"/>
      <c r="BW12" s="292"/>
      <c r="BX12" s="289"/>
      <c r="BY12" s="288"/>
      <c r="BZ12" s="292"/>
      <c r="CA12" s="275"/>
      <c r="CB12" s="273"/>
      <c r="CC12" s="292"/>
      <c r="CD12" s="289"/>
      <c r="CE12" s="288"/>
      <c r="CF12" s="292"/>
      <c r="CG12" s="289"/>
      <c r="CH12" s="288"/>
      <c r="CI12" s="292"/>
      <c r="CJ12" s="289"/>
      <c r="CK12" s="288"/>
      <c r="CL12" s="292"/>
      <c r="CM12" s="289"/>
      <c r="CN12" s="288"/>
      <c r="CO12" s="292"/>
      <c r="CP12" s="273"/>
      <c r="CQ12" s="512"/>
    </row>
    <row r="13" spans="1:95" s="271" customFormat="1" ht="21.75" customHeight="1">
      <c r="A13" s="526" t="s">
        <v>243</v>
      </c>
      <c r="B13" s="384"/>
      <c r="C13" s="382"/>
      <c r="D13" s="385"/>
      <c r="E13" s="290"/>
      <c r="F13" s="382"/>
      <c r="G13" s="383"/>
      <c r="H13" s="384"/>
      <c r="I13" s="382"/>
      <c r="J13" s="385"/>
      <c r="K13" s="290"/>
      <c r="L13" s="382"/>
      <c r="M13" s="385"/>
      <c r="N13" s="290"/>
      <c r="O13" s="382"/>
      <c r="P13" s="385"/>
      <c r="Q13" s="290"/>
      <c r="R13" s="382"/>
      <c r="S13" s="385"/>
      <c r="T13" s="290"/>
      <c r="U13" s="382"/>
      <c r="V13" s="385"/>
      <c r="W13" s="382"/>
      <c r="X13" s="382"/>
      <c r="Y13" s="385"/>
      <c r="Z13" s="290"/>
      <c r="AA13" s="382"/>
      <c r="AB13" s="385"/>
      <c r="AC13" s="290"/>
      <c r="AD13" s="382"/>
      <c r="AE13" s="385"/>
      <c r="AF13" s="290"/>
      <c r="AG13" s="382"/>
      <c r="AH13" s="385"/>
      <c r="AI13" s="290"/>
      <c r="AJ13" s="382"/>
      <c r="AK13" s="385"/>
      <c r="AL13" s="382"/>
      <c r="AM13" s="382"/>
      <c r="AN13" s="385"/>
      <c r="AO13" s="290"/>
      <c r="AP13" s="382"/>
      <c r="AQ13" s="383"/>
      <c r="AR13" s="384"/>
      <c r="AS13" s="382"/>
      <c r="AT13" s="385"/>
      <c r="AU13" s="290"/>
      <c r="AV13" s="382"/>
      <c r="AW13" s="385"/>
      <c r="AX13" s="290"/>
      <c r="AY13" s="382"/>
      <c r="AZ13" s="385"/>
      <c r="BA13" s="290"/>
      <c r="BB13" s="382"/>
      <c r="BC13" s="385"/>
      <c r="BD13" s="290"/>
      <c r="BE13" s="382"/>
      <c r="BF13" s="385"/>
      <c r="BG13" s="382"/>
      <c r="BH13" s="382"/>
      <c r="BI13" s="385"/>
      <c r="BJ13" s="290"/>
      <c r="BK13" s="382"/>
      <c r="BL13" s="385"/>
      <c r="BM13" s="290"/>
      <c r="BN13" s="382"/>
      <c r="BO13" s="385"/>
      <c r="BP13" s="290"/>
      <c r="BQ13" s="382"/>
      <c r="BR13" s="385"/>
      <c r="BS13" s="290"/>
      <c r="BT13" s="382"/>
      <c r="BU13" s="385"/>
      <c r="BV13" s="382"/>
      <c r="BW13" s="382"/>
      <c r="BX13" s="385"/>
      <c r="BY13" s="290"/>
      <c r="BZ13" s="382"/>
      <c r="CA13" s="383"/>
      <c r="CB13" s="382"/>
      <c r="CC13" s="274"/>
      <c r="CD13" s="291"/>
      <c r="CE13" s="290"/>
      <c r="CF13" s="274"/>
      <c r="CG13" s="291"/>
      <c r="CH13" s="290"/>
      <c r="CI13" s="274"/>
      <c r="CJ13" s="291"/>
      <c r="CK13" s="290"/>
      <c r="CL13" s="274"/>
      <c r="CM13" s="291"/>
      <c r="CN13" s="290"/>
      <c r="CO13" s="274"/>
      <c r="CP13" s="274"/>
      <c r="CQ13" s="525" t="s">
        <v>435</v>
      </c>
    </row>
    <row r="14" spans="1:95" s="271" customFormat="1" ht="21.75" customHeight="1">
      <c r="A14" s="518"/>
      <c r="B14" s="311"/>
      <c r="C14" s="309"/>
      <c r="D14" s="312"/>
      <c r="E14" s="313"/>
      <c r="F14" s="309"/>
      <c r="G14" s="310"/>
      <c r="H14" s="311"/>
      <c r="I14" s="309"/>
      <c r="J14" s="312"/>
      <c r="K14" s="313"/>
      <c r="L14" s="309"/>
      <c r="M14" s="312"/>
      <c r="N14" s="313"/>
      <c r="O14" s="309"/>
      <c r="P14" s="312"/>
      <c r="Q14" s="313"/>
      <c r="R14" s="309"/>
      <c r="S14" s="312"/>
      <c r="T14" s="313"/>
      <c r="U14" s="309"/>
      <c r="V14" s="312"/>
      <c r="W14" s="309"/>
      <c r="X14" s="309"/>
      <c r="Y14" s="312"/>
      <c r="Z14" s="313"/>
      <c r="AA14" s="309"/>
      <c r="AB14" s="312"/>
      <c r="AC14" s="288"/>
      <c r="AD14" s="273"/>
      <c r="AE14" s="289"/>
      <c r="AF14" s="288"/>
      <c r="AG14" s="273"/>
      <c r="AH14" s="289"/>
      <c r="AI14" s="288"/>
      <c r="AJ14" s="273"/>
      <c r="AK14" s="289"/>
      <c r="AL14" s="273"/>
      <c r="AM14" s="273"/>
      <c r="AN14" s="289"/>
      <c r="AO14" s="288"/>
      <c r="AP14" s="273"/>
      <c r="AQ14" s="275"/>
      <c r="AR14" s="278"/>
      <c r="AS14" s="273"/>
      <c r="AT14" s="289"/>
      <c r="AU14" s="288"/>
      <c r="AV14" s="273"/>
      <c r="AW14" s="289"/>
      <c r="AX14" s="288"/>
      <c r="AY14" s="273"/>
      <c r="AZ14" s="289"/>
      <c r="BA14" s="288"/>
      <c r="BB14" s="273"/>
      <c r="BC14" s="289"/>
      <c r="BD14" s="313"/>
      <c r="BE14" s="309"/>
      <c r="BF14" s="312"/>
      <c r="BG14" s="309"/>
      <c r="BH14" s="309"/>
      <c r="BI14" s="312"/>
      <c r="BJ14" s="313"/>
      <c r="BK14" s="309"/>
      <c r="BL14" s="312"/>
      <c r="BM14" s="313"/>
      <c r="BN14" s="309"/>
      <c r="BO14" s="312"/>
      <c r="BP14" s="313"/>
      <c r="BQ14" s="309"/>
      <c r="BR14" s="312"/>
      <c r="BS14" s="313"/>
      <c r="BT14" s="309"/>
      <c r="BU14" s="312"/>
      <c r="BV14" s="309"/>
      <c r="BW14" s="309"/>
      <c r="BX14" s="312"/>
      <c r="BY14" s="313"/>
      <c r="BZ14" s="309"/>
      <c r="CA14" s="310"/>
      <c r="CB14" s="309"/>
      <c r="CC14" s="309"/>
      <c r="CD14" s="312"/>
      <c r="CE14" s="313"/>
      <c r="CF14" s="309"/>
      <c r="CG14" s="312"/>
      <c r="CH14" s="313"/>
      <c r="CI14" s="309"/>
      <c r="CJ14" s="312"/>
      <c r="CK14" s="313"/>
      <c r="CL14" s="309"/>
      <c r="CM14" s="312"/>
      <c r="CN14" s="313"/>
      <c r="CO14" s="309"/>
      <c r="CP14" s="309"/>
      <c r="CQ14" s="512"/>
    </row>
    <row r="15" spans="1:95" s="271" customFormat="1" ht="21.75" customHeight="1">
      <c r="A15" s="518"/>
      <c r="B15" s="278"/>
      <c r="C15" s="273"/>
      <c r="D15" s="289"/>
      <c r="E15" s="288"/>
      <c r="F15" s="273"/>
      <c r="G15" s="275"/>
      <c r="H15" s="278"/>
      <c r="I15" s="273"/>
      <c r="J15" s="289"/>
      <c r="K15" s="288"/>
      <c r="L15" s="273"/>
      <c r="M15" s="289"/>
      <c r="N15" s="288"/>
      <c r="O15" s="273"/>
      <c r="P15" s="289"/>
      <c r="Q15" s="288"/>
      <c r="R15" s="273"/>
      <c r="S15" s="289"/>
      <c r="T15" s="288"/>
      <c r="U15" s="273"/>
      <c r="V15" s="289"/>
      <c r="W15" s="273"/>
      <c r="X15" s="273"/>
      <c r="Y15" s="289"/>
      <c r="Z15" s="288"/>
      <c r="AA15" s="273"/>
      <c r="AB15" s="289"/>
      <c r="AC15" s="288"/>
      <c r="AD15" s="273"/>
      <c r="AE15" s="289"/>
      <c r="AF15" s="288"/>
      <c r="AG15" s="273"/>
      <c r="AH15" s="289"/>
      <c r="AI15" s="288"/>
      <c r="AJ15" s="273"/>
      <c r="AK15" s="289"/>
      <c r="AL15" s="273"/>
      <c r="AM15" s="273"/>
      <c r="AN15" s="289"/>
      <c r="AO15" s="288"/>
      <c r="AP15" s="273"/>
      <c r="AQ15" s="275"/>
      <c r="AR15" s="278"/>
      <c r="AS15" s="273"/>
      <c r="AT15" s="289"/>
      <c r="AU15" s="288"/>
      <c r="AV15" s="273"/>
      <c r="AW15" s="289"/>
      <c r="AX15" s="288"/>
      <c r="AY15" s="273"/>
      <c r="AZ15" s="289"/>
      <c r="BA15" s="288"/>
      <c r="BB15" s="273"/>
      <c r="BC15" s="289"/>
      <c r="BD15" s="288"/>
      <c r="BE15" s="273"/>
      <c r="BF15" s="289"/>
      <c r="BG15" s="273"/>
      <c r="BH15" s="273"/>
      <c r="BI15" s="289"/>
      <c r="BJ15" s="288"/>
      <c r="BK15" s="273"/>
      <c r="BL15" s="289"/>
      <c r="BM15" s="288"/>
      <c r="BN15" s="273"/>
      <c r="BO15" s="289"/>
      <c r="BP15" s="288"/>
      <c r="BQ15" s="273"/>
      <c r="BR15" s="289"/>
      <c r="BS15" s="288"/>
      <c r="BT15" s="273"/>
      <c r="BU15" s="289"/>
      <c r="BV15" s="273"/>
      <c r="BW15" s="273"/>
      <c r="BX15" s="289"/>
      <c r="BY15" s="288"/>
      <c r="BZ15" s="273"/>
      <c r="CA15" s="275"/>
      <c r="CB15" s="273"/>
      <c r="CC15" s="273"/>
      <c r="CD15" s="289"/>
      <c r="CE15" s="288"/>
      <c r="CF15" s="273"/>
      <c r="CG15" s="289"/>
      <c r="CH15" s="288"/>
      <c r="CI15" s="273"/>
      <c r="CJ15" s="289"/>
      <c r="CK15" s="288"/>
      <c r="CL15" s="273"/>
      <c r="CM15" s="289"/>
      <c r="CN15" s="288"/>
      <c r="CO15" s="273"/>
      <c r="CP15" s="273"/>
      <c r="CQ15" s="512"/>
    </row>
    <row r="16" spans="1:95" s="271" customFormat="1" ht="21.75" customHeight="1">
      <c r="A16" s="526" t="s">
        <v>252</v>
      </c>
      <c r="B16" s="384"/>
      <c r="C16" s="382"/>
      <c r="D16" s="385"/>
      <c r="E16" s="290"/>
      <c r="F16" s="382"/>
      <c r="G16" s="383"/>
      <c r="H16" s="384"/>
      <c r="I16" s="382"/>
      <c r="J16" s="385"/>
      <c r="K16" s="290"/>
      <c r="L16" s="382"/>
      <c r="M16" s="385"/>
      <c r="N16" s="290"/>
      <c r="O16" s="382"/>
      <c r="P16" s="385"/>
      <c r="Q16" s="290"/>
      <c r="R16" s="382"/>
      <c r="S16" s="385"/>
      <c r="T16" s="290"/>
      <c r="U16" s="382"/>
      <c r="V16" s="385"/>
      <c r="W16" s="382"/>
      <c r="X16" s="382"/>
      <c r="Y16" s="385"/>
      <c r="Z16" s="290"/>
      <c r="AA16" s="382"/>
      <c r="AB16" s="385"/>
      <c r="AC16" s="290"/>
      <c r="AD16" s="382"/>
      <c r="AE16" s="385"/>
      <c r="AF16" s="290"/>
      <c r="AG16" s="382"/>
      <c r="AH16" s="385"/>
      <c r="AI16" s="290"/>
      <c r="AJ16" s="382"/>
      <c r="AK16" s="385"/>
      <c r="AL16" s="382"/>
      <c r="AM16" s="382"/>
      <c r="AN16" s="385"/>
      <c r="AO16" s="290"/>
      <c r="AP16" s="382"/>
      <c r="AQ16" s="383"/>
      <c r="AR16" s="384"/>
      <c r="AS16" s="382"/>
      <c r="AT16" s="385"/>
      <c r="AU16" s="290"/>
      <c r="AV16" s="382"/>
      <c r="AW16" s="385"/>
      <c r="AX16" s="290"/>
      <c r="AY16" s="382"/>
      <c r="AZ16" s="385"/>
      <c r="BA16" s="290"/>
      <c r="BB16" s="382"/>
      <c r="BC16" s="385"/>
      <c r="BD16" s="290"/>
      <c r="BE16" s="382"/>
      <c r="BF16" s="385"/>
      <c r="BG16" s="382"/>
      <c r="BH16" s="382"/>
      <c r="BI16" s="385"/>
      <c r="BJ16" s="290"/>
      <c r="BK16" s="382"/>
      <c r="BL16" s="385"/>
      <c r="BM16" s="290"/>
      <c r="BN16" s="382"/>
      <c r="BO16" s="385"/>
      <c r="BP16" s="290"/>
      <c r="BQ16" s="382"/>
      <c r="BR16" s="385"/>
      <c r="BS16" s="290"/>
      <c r="BT16" s="382"/>
      <c r="BU16" s="385"/>
      <c r="BV16" s="382"/>
      <c r="BW16" s="382"/>
      <c r="BX16" s="385"/>
      <c r="BY16" s="290"/>
      <c r="BZ16" s="382"/>
      <c r="CA16" s="383"/>
      <c r="CB16" s="382"/>
      <c r="CC16" s="274"/>
      <c r="CD16" s="291"/>
      <c r="CE16" s="290"/>
      <c r="CF16" s="274"/>
      <c r="CG16" s="291"/>
      <c r="CH16" s="290"/>
      <c r="CI16" s="274"/>
      <c r="CJ16" s="291"/>
      <c r="CK16" s="290"/>
      <c r="CL16" s="274"/>
      <c r="CM16" s="291"/>
      <c r="CN16" s="290"/>
      <c r="CO16" s="274"/>
      <c r="CP16" s="274"/>
      <c r="CQ16" s="525" t="s">
        <v>436</v>
      </c>
    </row>
    <row r="17" spans="1:95" s="271" customFormat="1" ht="21.75" customHeight="1">
      <c r="A17" s="518"/>
      <c r="B17" s="278"/>
      <c r="C17" s="273"/>
      <c r="D17" s="289"/>
      <c r="E17" s="288"/>
      <c r="F17" s="273"/>
      <c r="G17" s="275"/>
      <c r="H17" s="278"/>
      <c r="I17" s="273"/>
      <c r="J17" s="289"/>
      <c r="K17" s="288"/>
      <c r="L17" s="273"/>
      <c r="M17" s="289"/>
      <c r="N17" s="288"/>
      <c r="O17" s="273"/>
      <c r="P17" s="289"/>
      <c r="Q17" s="288"/>
      <c r="R17" s="273"/>
      <c r="S17" s="289"/>
      <c r="T17" s="288"/>
      <c r="U17" s="273"/>
      <c r="V17" s="289"/>
      <c r="W17" s="273"/>
      <c r="X17" s="273"/>
      <c r="Y17" s="289"/>
      <c r="Z17" s="288"/>
      <c r="AA17" s="273"/>
      <c r="AB17" s="289"/>
      <c r="AC17" s="288"/>
      <c r="AD17" s="273"/>
      <c r="AE17" s="289"/>
      <c r="AF17" s="288"/>
      <c r="AG17" s="273"/>
      <c r="AH17" s="289"/>
      <c r="AI17" s="288"/>
      <c r="AJ17" s="273"/>
      <c r="AK17" s="289"/>
      <c r="AL17" s="273"/>
      <c r="AM17" s="273"/>
      <c r="AN17" s="289"/>
      <c r="AO17" s="288"/>
      <c r="AP17" s="273"/>
      <c r="AQ17" s="275"/>
      <c r="AR17" s="278"/>
      <c r="AS17" s="273"/>
      <c r="AT17" s="289"/>
      <c r="AU17" s="288"/>
      <c r="AV17" s="273"/>
      <c r="AW17" s="289"/>
      <c r="AX17" s="288"/>
      <c r="AY17" s="273"/>
      <c r="AZ17" s="289"/>
      <c r="BA17" s="288"/>
      <c r="BB17" s="273"/>
      <c r="BC17" s="289"/>
      <c r="BD17" s="288"/>
      <c r="BE17" s="273"/>
      <c r="BF17" s="289"/>
      <c r="BG17" s="273"/>
      <c r="BH17" s="273"/>
      <c r="BI17" s="289"/>
      <c r="BJ17" s="288"/>
      <c r="BK17" s="273"/>
      <c r="BL17" s="289"/>
      <c r="BM17" s="313"/>
      <c r="BN17" s="309"/>
      <c r="BO17" s="312"/>
      <c r="BP17" s="313"/>
      <c r="BQ17" s="309"/>
      <c r="BR17" s="312"/>
      <c r="BS17" s="313"/>
      <c r="BT17" s="309"/>
      <c r="BU17" s="312"/>
      <c r="BV17" s="309"/>
      <c r="BW17" s="309"/>
      <c r="BX17" s="312"/>
      <c r="BY17" s="313"/>
      <c r="BZ17" s="309"/>
      <c r="CA17" s="310"/>
      <c r="CB17" s="309"/>
      <c r="CC17" s="309"/>
      <c r="CD17" s="312"/>
      <c r="CE17" s="313"/>
      <c r="CF17" s="309"/>
      <c r="CG17" s="312"/>
      <c r="CH17" s="313"/>
      <c r="CI17" s="309"/>
      <c r="CJ17" s="312"/>
      <c r="CK17" s="313"/>
      <c r="CL17" s="309"/>
      <c r="CM17" s="312"/>
      <c r="CN17" s="313"/>
      <c r="CO17" s="309"/>
      <c r="CP17" s="309"/>
      <c r="CQ17" s="512"/>
    </row>
    <row r="18" spans="1:95" s="271" customFormat="1" ht="21.75" customHeight="1">
      <c r="A18" s="518"/>
      <c r="B18" s="278"/>
      <c r="C18" s="273"/>
      <c r="D18" s="289"/>
      <c r="E18" s="288"/>
      <c r="F18" s="273"/>
      <c r="G18" s="275"/>
      <c r="H18" s="278"/>
      <c r="I18" s="273"/>
      <c r="J18" s="289"/>
      <c r="K18" s="288"/>
      <c r="L18" s="273"/>
      <c r="M18" s="289"/>
      <c r="N18" s="288"/>
      <c r="O18" s="273"/>
      <c r="P18" s="289"/>
      <c r="Q18" s="288"/>
      <c r="R18" s="273"/>
      <c r="S18" s="289"/>
      <c r="T18" s="288"/>
      <c r="U18" s="273"/>
      <c r="V18" s="289"/>
      <c r="W18" s="273"/>
      <c r="X18" s="273"/>
      <c r="Y18" s="289"/>
      <c r="Z18" s="288"/>
      <c r="AA18" s="273"/>
      <c r="AB18" s="289"/>
      <c r="AC18" s="288"/>
      <c r="AD18" s="273"/>
      <c r="AE18" s="289"/>
      <c r="AF18" s="288"/>
      <c r="AG18" s="273"/>
      <c r="AH18" s="289"/>
      <c r="AI18" s="288"/>
      <c r="AJ18" s="273"/>
      <c r="AK18" s="289"/>
      <c r="AL18" s="273"/>
      <c r="AM18" s="273"/>
      <c r="AN18" s="289"/>
      <c r="AO18" s="288"/>
      <c r="AP18" s="273"/>
      <c r="AQ18" s="275"/>
      <c r="AR18" s="278"/>
      <c r="AS18" s="273"/>
      <c r="AT18" s="289"/>
      <c r="AU18" s="288"/>
      <c r="AV18" s="273"/>
      <c r="AW18" s="289"/>
      <c r="AX18" s="288"/>
      <c r="AY18" s="273"/>
      <c r="AZ18" s="289"/>
      <c r="BA18" s="288"/>
      <c r="BB18" s="273"/>
      <c r="BC18" s="289"/>
      <c r="BD18" s="288"/>
      <c r="BE18" s="273"/>
      <c r="BF18" s="289"/>
      <c r="BG18" s="273"/>
      <c r="BH18" s="273"/>
      <c r="BI18" s="289"/>
      <c r="BJ18" s="288"/>
      <c r="BK18" s="273"/>
      <c r="BL18" s="289"/>
      <c r="BM18" s="288"/>
      <c r="BN18" s="273"/>
      <c r="BO18" s="289"/>
      <c r="BP18" s="288"/>
      <c r="BQ18" s="273"/>
      <c r="BR18" s="289"/>
      <c r="BS18" s="288"/>
      <c r="BT18" s="273"/>
      <c r="BU18" s="289"/>
      <c r="BV18" s="273"/>
      <c r="BW18" s="273"/>
      <c r="BX18" s="289"/>
      <c r="BY18" s="288"/>
      <c r="BZ18" s="273"/>
      <c r="CA18" s="275"/>
      <c r="CB18" s="273"/>
      <c r="CC18" s="273"/>
      <c r="CD18" s="289"/>
      <c r="CE18" s="288"/>
      <c r="CF18" s="273"/>
      <c r="CG18" s="289"/>
      <c r="CH18" s="288"/>
      <c r="CI18" s="273"/>
      <c r="CJ18" s="289"/>
      <c r="CK18" s="288"/>
      <c r="CL18" s="273"/>
      <c r="CM18" s="289"/>
      <c r="CN18" s="288"/>
      <c r="CO18" s="273"/>
      <c r="CP18" s="273"/>
      <c r="CQ18" s="512"/>
    </row>
    <row r="19" spans="1:95" s="271" customFormat="1" ht="21.75" customHeight="1">
      <c r="A19" s="526" t="s">
        <v>242</v>
      </c>
      <c r="B19" s="384"/>
      <c r="C19" s="382"/>
      <c r="D19" s="385"/>
      <c r="E19" s="290"/>
      <c r="F19" s="382"/>
      <c r="G19" s="383"/>
      <c r="H19" s="384"/>
      <c r="I19" s="382"/>
      <c r="J19" s="385"/>
      <c r="K19" s="290"/>
      <c r="L19" s="382"/>
      <c r="M19" s="385"/>
      <c r="N19" s="290"/>
      <c r="O19" s="382"/>
      <c r="P19" s="385"/>
      <c r="Q19" s="290"/>
      <c r="R19" s="382"/>
      <c r="S19" s="385"/>
      <c r="T19" s="290"/>
      <c r="U19" s="382"/>
      <c r="V19" s="385"/>
      <c r="W19" s="382"/>
      <c r="X19" s="382"/>
      <c r="Y19" s="385"/>
      <c r="Z19" s="290"/>
      <c r="AA19" s="382"/>
      <c r="AB19" s="385"/>
      <c r="AC19" s="290"/>
      <c r="AD19" s="382"/>
      <c r="AE19" s="385"/>
      <c r="AF19" s="290"/>
      <c r="AG19" s="382"/>
      <c r="AH19" s="385"/>
      <c r="AI19" s="290"/>
      <c r="AJ19" s="382"/>
      <c r="AK19" s="385"/>
      <c r="AL19" s="382"/>
      <c r="AM19" s="382"/>
      <c r="AN19" s="385"/>
      <c r="AO19" s="290"/>
      <c r="AP19" s="382"/>
      <c r="AQ19" s="383"/>
      <c r="AR19" s="384"/>
      <c r="AS19" s="382"/>
      <c r="AT19" s="385"/>
      <c r="AU19" s="290"/>
      <c r="AV19" s="382"/>
      <c r="AW19" s="385"/>
      <c r="AX19" s="290"/>
      <c r="AY19" s="382"/>
      <c r="AZ19" s="385"/>
      <c r="BA19" s="290"/>
      <c r="BB19" s="382"/>
      <c r="BC19" s="385"/>
      <c r="BD19" s="290"/>
      <c r="BE19" s="382"/>
      <c r="BF19" s="385"/>
      <c r="BG19" s="382"/>
      <c r="BH19" s="382"/>
      <c r="BI19" s="385"/>
      <c r="BJ19" s="290"/>
      <c r="BK19" s="382"/>
      <c r="BL19" s="385"/>
      <c r="BM19" s="290"/>
      <c r="BN19" s="382"/>
      <c r="BO19" s="385"/>
      <c r="BP19" s="290"/>
      <c r="BQ19" s="382"/>
      <c r="BR19" s="385"/>
      <c r="BS19" s="290"/>
      <c r="BT19" s="382"/>
      <c r="BU19" s="385"/>
      <c r="BV19" s="382"/>
      <c r="BW19" s="382"/>
      <c r="BX19" s="385"/>
      <c r="BY19" s="290"/>
      <c r="BZ19" s="382"/>
      <c r="CA19" s="383"/>
      <c r="CB19" s="382"/>
      <c r="CC19" s="274"/>
      <c r="CD19" s="291"/>
      <c r="CE19" s="290"/>
      <c r="CF19" s="274"/>
      <c r="CG19" s="291"/>
      <c r="CH19" s="290"/>
      <c r="CI19" s="274"/>
      <c r="CJ19" s="291"/>
      <c r="CK19" s="290"/>
      <c r="CL19" s="274"/>
      <c r="CM19" s="291"/>
      <c r="CN19" s="290"/>
      <c r="CO19" s="274"/>
      <c r="CP19" s="274"/>
      <c r="CQ19" s="525" t="str">
        <f>CQ10</f>
        <v>2019.11.01 ~ 2022.5.31
(31개월)</v>
      </c>
    </row>
    <row r="20" spans="1:95" s="271" customFormat="1" ht="21.75" customHeight="1">
      <c r="A20" s="518"/>
      <c r="B20" s="311"/>
      <c r="C20" s="309"/>
      <c r="D20" s="312"/>
      <c r="E20" s="313"/>
      <c r="F20" s="309"/>
      <c r="G20" s="310"/>
      <c r="H20" s="311"/>
      <c r="I20" s="309"/>
      <c r="J20" s="312"/>
      <c r="K20" s="313"/>
      <c r="L20" s="309"/>
      <c r="M20" s="312"/>
      <c r="N20" s="313"/>
      <c r="O20" s="309"/>
      <c r="P20" s="312"/>
      <c r="Q20" s="313"/>
      <c r="R20" s="309"/>
      <c r="S20" s="312"/>
      <c r="T20" s="313"/>
      <c r="U20" s="309"/>
      <c r="V20" s="312"/>
      <c r="W20" s="309"/>
      <c r="X20" s="309"/>
      <c r="Y20" s="312"/>
      <c r="Z20" s="313"/>
      <c r="AA20" s="309"/>
      <c r="AB20" s="312"/>
      <c r="AC20" s="313"/>
      <c r="AD20" s="309"/>
      <c r="AE20" s="312"/>
      <c r="AF20" s="313"/>
      <c r="AG20" s="309"/>
      <c r="AH20" s="312"/>
      <c r="AI20" s="313"/>
      <c r="AJ20" s="309"/>
      <c r="AK20" s="312"/>
      <c r="AL20" s="309"/>
      <c r="AM20" s="309"/>
      <c r="AN20" s="312"/>
      <c r="AO20" s="313"/>
      <c r="AP20" s="309"/>
      <c r="AQ20" s="310"/>
      <c r="AR20" s="311"/>
      <c r="AS20" s="309"/>
      <c r="AT20" s="312"/>
      <c r="AU20" s="313"/>
      <c r="AV20" s="309"/>
      <c r="AW20" s="312"/>
      <c r="AX20" s="313"/>
      <c r="AY20" s="309"/>
      <c r="AZ20" s="312"/>
      <c r="BA20" s="313"/>
      <c r="BB20" s="309"/>
      <c r="BC20" s="312"/>
      <c r="BD20" s="313"/>
      <c r="BE20" s="309"/>
      <c r="BF20" s="312"/>
      <c r="BG20" s="309"/>
      <c r="BH20" s="309"/>
      <c r="BI20" s="312"/>
      <c r="BJ20" s="313"/>
      <c r="BK20" s="309"/>
      <c r="BL20" s="312"/>
      <c r="BM20" s="313"/>
      <c r="BN20" s="309"/>
      <c r="BO20" s="312"/>
      <c r="BP20" s="313"/>
      <c r="BQ20" s="309"/>
      <c r="BR20" s="312"/>
      <c r="BS20" s="313"/>
      <c r="BT20" s="309"/>
      <c r="BU20" s="312"/>
      <c r="BV20" s="309"/>
      <c r="BW20" s="309"/>
      <c r="BX20" s="312"/>
      <c r="BY20" s="313"/>
      <c r="BZ20" s="309"/>
      <c r="CA20" s="310"/>
      <c r="CB20" s="309"/>
      <c r="CC20" s="309"/>
      <c r="CD20" s="312"/>
      <c r="CE20" s="313"/>
      <c r="CF20" s="309"/>
      <c r="CG20" s="312"/>
      <c r="CH20" s="313"/>
      <c r="CI20" s="309"/>
      <c r="CJ20" s="312"/>
      <c r="CK20" s="313"/>
      <c r="CL20" s="309"/>
      <c r="CM20" s="312"/>
      <c r="CN20" s="313"/>
      <c r="CO20" s="309"/>
      <c r="CP20" s="309"/>
      <c r="CQ20" s="512"/>
    </row>
    <row r="21" spans="1:95" s="271" customFormat="1" ht="21.75" customHeight="1">
      <c r="A21" s="518"/>
      <c r="B21" s="278"/>
      <c r="C21" s="273"/>
      <c r="D21" s="289"/>
      <c r="E21" s="288"/>
      <c r="F21" s="273"/>
      <c r="G21" s="275"/>
      <c r="H21" s="278"/>
      <c r="I21" s="273"/>
      <c r="J21" s="289"/>
      <c r="K21" s="288"/>
      <c r="L21" s="273"/>
      <c r="M21" s="289"/>
      <c r="N21" s="288"/>
      <c r="O21" s="273"/>
      <c r="P21" s="289"/>
      <c r="Q21" s="288"/>
      <c r="R21" s="273"/>
      <c r="S21" s="289"/>
      <c r="T21" s="288"/>
      <c r="U21" s="273"/>
      <c r="V21" s="289"/>
      <c r="W21" s="273"/>
      <c r="X21" s="273"/>
      <c r="Y21" s="289"/>
      <c r="Z21" s="288"/>
      <c r="AA21" s="273"/>
      <c r="AB21" s="289"/>
      <c r="AC21" s="288"/>
      <c r="AD21" s="273"/>
      <c r="AE21" s="289"/>
      <c r="AF21" s="288"/>
      <c r="AG21" s="273"/>
      <c r="AH21" s="289"/>
      <c r="AI21" s="288"/>
      <c r="AJ21" s="273"/>
      <c r="AK21" s="289"/>
      <c r="AL21" s="273"/>
      <c r="AM21" s="273"/>
      <c r="AN21" s="289"/>
      <c r="AO21" s="288"/>
      <c r="AP21" s="273"/>
      <c r="AQ21" s="275"/>
      <c r="AR21" s="278"/>
      <c r="AS21" s="273"/>
      <c r="AT21" s="289"/>
      <c r="AU21" s="288"/>
      <c r="AV21" s="273"/>
      <c r="AW21" s="289"/>
      <c r="AX21" s="288"/>
      <c r="AY21" s="273"/>
      <c r="AZ21" s="289"/>
      <c r="BA21" s="288"/>
      <c r="BB21" s="273"/>
      <c r="BC21" s="289"/>
      <c r="BD21" s="288"/>
      <c r="BE21" s="273"/>
      <c r="BF21" s="289"/>
      <c r="BG21" s="273"/>
      <c r="BH21" s="273"/>
      <c r="BI21" s="289"/>
      <c r="BJ21" s="288"/>
      <c r="BK21" s="273"/>
      <c r="BL21" s="289"/>
      <c r="BM21" s="288"/>
      <c r="BN21" s="273"/>
      <c r="BO21" s="289"/>
      <c r="BP21" s="288"/>
      <c r="BQ21" s="273"/>
      <c r="BR21" s="289"/>
      <c r="BS21" s="288"/>
      <c r="BT21" s="273"/>
      <c r="BU21" s="289"/>
      <c r="BV21" s="273"/>
      <c r="BW21" s="273"/>
      <c r="BX21" s="289"/>
      <c r="BY21" s="288"/>
      <c r="BZ21" s="273"/>
      <c r="CA21" s="275"/>
      <c r="CB21" s="273"/>
      <c r="CC21" s="273"/>
      <c r="CD21" s="289"/>
      <c r="CE21" s="288"/>
      <c r="CF21" s="273"/>
      <c r="CG21" s="289"/>
      <c r="CH21" s="288"/>
      <c r="CI21" s="273"/>
      <c r="CJ21" s="289"/>
      <c r="CK21" s="288"/>
      <c r="CL21" s="273"/>
      <c r="CM21" s="289"/>
      <c r="CN21" s="288"/>
      <c r="CO21" s="273"/>
      <c r="CP21" s="273"/>
      <c r="CQ21" s="512"/>
    </row>
    <row r="22" spans="1:95" s="271" customFormat="1" ht="21.75" customHeight="1">
      <c r="A22" s="526" t="s">
        <v>241</v>
      </c>
      <c r="B22" s="384"/>
      <c r="C22" s="382"/>
      <c r="D22" s="385"/>
      <c r="E22" s="290"/>
      <c r="F22" s="382"/>
      <c r="G22" s="383"/>
      <c r="H22" s="384"/>
      <c r="I22" s="382"/>
      <c r="J22" s="385"/>
      <c r="K22" s="290"/>
      <c r="L22" s="382"/>
      <c r="M22" s="385"/>
      <c r="N22" s="290"/>
      <c r="O22" s="382"/>
      <c r="P22" s="385"/>
      <c r="Q22" s="290"/>
      <c r="R22" s="382"/>
      <c r="S22" s="385"/>
      <c r="T22" s="290"/>
      <c r="U22" s="382"/>
      <c r="V22" s="385"/>
      <c r="W22" s="382"/>
      <c r="X22" s="382"/>
      <c r="Y22" s="385"/>
      <c r="Z22" s="290"/>
      <c r="AA22" s="382"/>
      <c r="AB22" s="385"/>
      <c r="AC22" s="290"/>
      <c r="AD22" s="382"/>
      <c r="AE22" s="385"/>
      <c r="AF22" s="290"/>
      <c r="AG22" s="382"/>
      <c r="AH22" s="385"/>
      <c r="AI22" s="290"/>
      <c r="AJ22" s="382"/>
      <c r="AK22" s="385"/>
      <c r="AL22" s="382"/>
      <c r="AM22" s="382"/>
      <c r="AN22" s="385"/>
      <c r="AO22" s="290"/>
      <c r="AP22" s="382"/>
      <c r="AQ22" s="383"/>
      <c r="AR22" s="384"/>
      <c r="AS22" s="382"/>
      <c r="AT22" s="385"/>
      <c r="AU22" s="290"/>
      <c r="AV22" s="382"/>
      <c r="AW22" s="385"/>
      <c r="AX22" s="290"/>
      <c r="AY22" s="382"/>
      <c r="AZ22" s="385"/>
      <c r="BA22" s="290"/>
      <c r="BB22" s="382"/>
      <c r="BC22" s="385"/>
      <c r="BD22" s="290"/>
      <c r="BE22" s="382"/>
      <c r="BF22" s="385"/>
      <c r="BG22" s="382"/>
      <c r="BH22" s="382"/>
      <c r="BI22" s="385"/>
      <c r="BJ22" s="290"/>
      <c r="BK22" s="382"/>
      <c r="BL22" s="385"/>
      <c r="BM22" s="290"/>
      <c r="BN22" s="382"/>
      <c r="BO22" s="385"/>
      <c r="BP22" s="290"/>
      <c r="BQ22" s="382"/>
      <c r="BR22" s="385"/>
      <c r="BS22" s="290"/>
      <c r="BT22" s="382"/>
      <c r="BU22" s="385"/>
      <c r="BV22" s="382"/>
      <c r="BW22" s="382"/>
      <c r="BX22" s="385"/>
      <c r="BY22" s="290"/>
      <c r="BZ22" s="382"/>
      <c r="CA22" s="383"/>
      <c r="CB22" s="382"/>
      <c r="CC22" s="274"/>
      <c r="CD22" s="291"/>
      <c r="CE22" s="290"/>
      <c r="CF22" s="274"/>
      <c r="CG22" s="291"/>
      <c r="CH22" s="290"/>
      <c r="CI22" s="274"/>
      <c r="CJ22" s="291"/>
      <c r="CK22" s="290"/>
      <c r="CL22" s="274"/>
      <c r="CM22" s="291"/>
      <c r="CN22" s="290"/>
      <c r="CO22" s="274"/>
      <c r="CP22" s="274"/>
      <c r="CQ22" s="525" t="s">
        <v>442</v>
      </c>
    </row>
    <row r="23" spans="1:95" s="271" customFormat="1" ht="21.75" customHeight="1">
      <c r="A23" s="518"/>
      <c r="B23" s="278"/>
      <c r="C23" s="273"/>
      <c r="D23" s="289"/>
      <c r="E23" s="288"/>
      <c r="F23" s="273"/>
      <c r="G23" s="275"/>
      <c r="H23" s="278"/>
      <c r="I23" s="273"/>
      <c r="J23" s="289"/>
      <c r="K23" s="313"/>
      <c r="L23" s="309"/>
      <c r="M23" s="312"/>
      <c r="N23" s="313"/>
      <c r="O23" s="309"/>
      <c r="P23" s="312"/>
      <c r="Q23" s="313"/>
      <c r="R23" s="309"/>
      <c r="S23" s="312"/>
      <c r="T23" s="313"/>
      <c r="U23" s="309"/>
      <c r="V23" s="312"/>
      <c r="W23" s="309"/>
      <c r="X23" s="309"/>
      <c r="Y23" s="312"/>
      <c r="Z23" s="313"/>
      <c r="AA23" s="309"/>
      <c r="AB23" s="312"/>
      <c r="AC23" s="313"/>
      <c r="AD23" s="309"/>
      <c r="AE23" s="312"/>
      <c r="AF23" s="313"/>
      <c r="AG23" s="309"/>
      <c r="AH23" s="312"/>
      <c r="AI23" s="313"/>
      <c r="AJ23" s="309"/>
      <c r="AK23" s="312"/>
      <c r="AL23" s="309"/>
      <c r="AM23" s="309"/>
      <c r="AN23" s="312"/>
      <c r="AO23" s="313"/>
      <c r="AP23" s="309"/>
      <c r="AQ23" s="310"/>
      <c r="AR23" s="311"/>
      <c r="AS23" s="309"/>
      <c r="AT23" s="312"/>
      <c r="AU23" s="313"/>
      <c r="AV23" s="309"/>
      <c r="AW23" s="312"/>
      <c r="AX23" s="313"/>
      <c r="AY23" s="309"/>
      <c r="AZ23" s="312"/>
      <c r="BA23" s="313"/>
      <c r="BB23" s="309"/>
      <c r="BC23" s="312"/>
      <c r="BD23" s="313"/>
      <c r="BE23" s="309"/>
      <c r="BF23" s="312"/>
      <c r="BG23" s="309"/>
      <c r="BH23" s="309"/>
      <c r="BI23" s="312"/>
      <c r="BJ23" s="288"/>
      <c r="BK23" s="273"/>
      <c r="BL23" s="289"/>
      <c r="BM23" s="288"/>
      <c r="BN23" s="273"/>
      <c r="BO23" s="289"/>
      <c r="BP23" s="288"/>
      <c r="BQ23" s="273"/>
      <c r="BR23" s="289"/>
      <c r="BS23" s="288"/>
      <c r="BT23" s="273"/>
      <c r="BU23" s="289"/>
      <c r="BV23" s="273"/>
      <c r="BW23" s="273"/>
      <c r="BX23" s="289"/>
      <c r="BY23" s="288"/>
      <c r="BZ23" s="273"/>
      <c r="CA23" s="275"/>
      <c r="CB23" s="273"/>
      <c r="CC23" s="273"/>
      <c r="CD23" s="289"/>
      <c r="CE23" s="288"/>
      <c r="CF23" s="273"/>
      <c r="CG23" s="289"/>
      <c r="CH23" s="288"/>
      <c r="CI23" s="273"/>
      <c r="CJ23" s="289"/>
      <c r="CK23" s="288"/>
      <c r="CL23" s="273"/>
      <c r="CM23" s="289"/>
      <c r="CN23" s="288"/>
      <c r="CO23" s="273"/>
      <c r="CP23" s="273"/>
      <c r="CQ23" s="512"/>
    </row>
    <row r="24" spans="1:95" s="271" customFormat="1" ht="21.75" customHeight="1">
      <c r="A24" s="518"/>
      <c r="B24" s="278"/>
      <c r="C24" s="273"/>
      <c r="D24" s="289"/>
      <c r="E24" s="288"/>
      <c r="F24" s="273"/>
      <c r="G24" s="275"/>
      <c r="H24" s="278"/>
      <c r="I24" s="273"/>
      <c r="J24" s="289"/>
      <c r="K24" s="288"/>
      <c r="L24" s="273"/>
      <c r="M24" s="289"/>
      <c r="N24" s="288"/>
      <c r="O24" s="273"/>
      <c r="P24" s="289"/>
      <c r="Q24" s="288"/>
      <c r="R24" s="273"/>
      <c r="S24" s="289"/>
      <c r="T24" s="288"/>
      <c r="U24" s="273"/>
      <c r="V24" s="289"/>
      <c r="W24" s="273"/>
      <c r="X24" s="273"/>
      <c r="Y24" s="289"/>
      <c r="Z24" s="288"/>
      <c r="AA24" s="273"/>
      <c r="AB24" s="289"/>
      <c r="AC24" s="288"/>
      <c r="AD24" s="273"/>
      <c r="AE24" s="289"/>
      <c r="AF24" s="288"/>
      <c r="AG24" s="273"/>
      <c r="AH24" s="289"/>
      <c r="AI24" s="288"/>
      <c r="AJ24" s="273"/>
      <c r="AK24" s="289"/>
      <c r="AL24" s="273"/>
      <c r="AM24" s="273"/>
      <c r="AN24" s="289"/>
      <c r="AO24" s="288"/>
      <c r="AP24" s="273"/>
      <c r="AQ24" s="275"/>
      <c r="AR24" s="278"/>
      <c r="AS24" s="273"/>
      <c r="AT24" s="289"/>
      <c r="AU24" s="288"/>
      <c r="AV24" s="273"/>
      <c r="AW24" s="289"/>
      <c r="AX24" s="288"/>
      <c r="AY24" s="273"/>
      <c r="AZ24" s="289"/>
      <c r="BA24" s="288"/>
      <c r="BB24" s="273"/>
      <c r="BC24" s="289"/>
      <c r="BD24" s="288"/>
      <c r="BE24" s="273"/>
      <c r="BF24" s="289"/>
      <c r="BG24" s="273"/>
      <c r="BH24" s="273"/>
      <c r="BI24" s="289"/>
      <c r="BJ24" s="288"/>
      <c r="BK24" s="273"/>
      <c r="BL24" s="289"/>
      <c r="BM24" s="288"/>
      <c r="BN24" s="273"/>
      <c r="BO24" s="289"/>
      <c r="BP24" s="288"/>
      <c r="BQ24" s="273"/>
      <c r="BR24" s="289"/>
      <c r="BS24" s="288"/>
      <c r="BT24" s="273"/>
      <c r="BU24" s="289"/>
      <c r="BV24" s="273"/>
      <c r="BW24" s="273"/>
      <c r="BX24" s="289"/>
      <c r="BY24" s="288"/>
      <c r="BZ24" s="273"/>
      <c r="CA24" s="275"/>
      <c r="CB24" s="273"/>
      <c r="CC24" s="273"/>
      <c r="CD24" s="289"/>
      <c r="CE24" s="288"/>
      <c r="CF24" s="273"/>
      <c r="CG24" s="289"/>
      <c r="CH24" s="288"/>
      <c r="CI24" s="273"/>
      <c r="CJ24" s="289"/>
      <c r="CK24" s="288"/>
      <c r="CL24" s="273"/>
      <c r="CM24" s="289"/>
      <c r="CN24" s="288"/>
      <c r="CO24" s="273"/>
      <c r="CP24" s="273"/>
      <c r="CQ24" s="512"/>
    </row>
    <row r="25" spans="1:95" s="271" customFormat="1" ht="21.75" customHeight="1">
      <c r="A25" s="526" t="s">
        <v>240</v>
      </c>
      <c r="B25" s="384"/>
      <c r="C25" s="382"/>
      <c r="D25" s="385"/>
      <c r="E25" s="290"/>
      <c r="F25" s="382"/>
      <c r="G25" s="383"/>
      <c r="H25" s="384"/>
      <c r="I25" s="382"/>
      <c r="J25" s="385"/>
      <c r="K25" s="290"/>
      <c r="L25" s="382"/>
      <c r="M25" s="385"/>
      <c r="N25" s="290"/>
      <c r="O25" s="382"/>
      <c r="P25" s="385"/>
      <c r="Q25" s="290"/>
      <c r="R25" s="382"/>
      <c r="S25" s="385"/>
      <c r="T25" s="290"/>
      <c r="U25" s="382"/>
      <c r="V25" s="385"/>
      <c r="W25" s="382"/>
      <c r="X25" s="382"/>
      <c r="Y25" s="385"/>
      <c r="Z25" s="290"/>
      <c r="AA25" s="382"/>
      <c r="AB25" s="385"/>
      <c r="AC25" s="290"/>
      <c r="AD25" s="382"/>
      <c r="AE25" s="385"/>
      <c r="AF25" s="290"/>
      <c r="AG25" s="382"/>
      <c r="AH25" s="385"/>
      <c r="AI25" s="290"/>
      <c r="AJ25" s="382"/>
      <c r="AK25" s="385"/>
      <c r="AL25" s="382"/>
      <c r="AM25" s="382"/>
      <c r="AN25" s="385"/>
      <c r="AO25" s="290"/>
      <c r="AP25" s="382"/>
      <c r="AQ25" s="383"/>
      <c r="AR25" s="384"/>
      <c r="AS25" s="382"/>
      <c r="AT25" s="385"/>
      <c r="AU25" s="290"/>
      <c r="AV25" s="382"/>
      <c r="AW25" s="385"/>
      <c r="AX25" s="290"/>
      <c r="AY25" s="382"/>
      <c r="AZ25" s="385"/>
      <c r="BA25" s="290"/>
      <c r="BB25" s="382"/>
      <c r="BC25" s="385"/>
      <c r="BD25" s="290"/>
      <c r="BE25" s="382"/>
      <c r="BF25" s="385"/>
      <c r="BG25" s="382"/>
      <c r="BH25" s="382"/>
      <c r="BI25" s="385"/>
      <c r="BJ25" s="290"/>
      <c r="BK25" s="382"/>
      <c r="BL25" s="385"/>
      <c r="BM25" s="290"/>
      <c r="BN25" s="382"/>
      <c r="BO25" s="385"/>
      <c r="BP25" s="290"/>
      <c r="BQ25" s="382"/>
      <c r="BR25" s="385"/>
      <c r="BS25" s="290"/>
      <c r="BT25" s="382"/>
      <c r="BU25" s="385"/>
      <c r="BV25" s="382"/>
      <c r="BW25" s="382"/>
      <c r="BX25" s="385"/>
      <c r="BY25" s="290"/>
      <c r="BZ25" s="382"/>
      <c r="CA25" s="383"/>
      <c r="CB25" s="382"/>
      <c r="CC25" s="274"/>
      <c r="CD25" s="291"/>
      <c r="CE25" s="290"/>
      <c r="CF25" s="274"/>
      <c r="CG25" s="291"/>
      <c r="CH25" s="290"/>
      <c r="CI25" s="274"/>
      <c r="CJ25" s="291"/>
      <c r="CK25" s="290"/>
      <c r="CL25" s="274"/>
      <c r="CM25" s="291"/>
      <c r="CN25" s="290"/>
      <c r="CO25" s="274"/>
      <c r="CP25" s="274"/>
      <c r="CQ25" s="525" t="s">
        <v>437</v>
      </c>
    </row>
    <row r="26" spans="1:95" s="271" customFormat="1" ht="21.75" customHeight="1">
      <c r="A26" s="518"/>
      <c r="B26" s="278"/>
      <c r="C26" s="273"/>
      <c r="D26" s="289"/>
      <c r="E26" s="288"/>
      <c r="F26" s="273"/>
      <c r="G26" s="275"/>
      <c r="H26" s="278"/>
      <c r="I26" s="273"/>
      <c r="J26" s="289"/>
      <c r="K26" s="288"/>
      <c r="L26" s="273"/>
      <c r="M26" s="289"/>
      <c r="N26" s="313"/>
      <c r="O26" s="309"/>
      <c r="P26" s="312"/>
      <c r="Q26" s="313"/>
      <c r="R26" s="309"/>
      <c r="S26" s="312"/>
      <c r="T26" s="313"/>
      <c r="U26" s="309"/>
      <c r="V26" s="312"/>
      <c r="W26" s="309"/>
      <c r="X26" s="309"/>
      <c r="Y26" s="312"/>
      <c r="Z26" s="313"/>
      <c r="AA26" s="309"/>
      <c r="AB26" s="312"/>
      <c r="AC26" s="313"/>
      <c r="AD26" s="309"/>
      <c r="AE26" s="312"/>
      <c r="AF26" s="313"/>
      <c r="AG26" s="309"/>
      <c r="AH26" s="312"/>
      <c r="AI26" s="313"/>
      <c r="AJ26" s="309"/>
      <c r="AK26" s="386"/>
      <c r="AL26" s="309"/>
      <c r="AM26" s="309"/>
      <c r="AN26" s="312"/>
      <c r="AO26" s="313"/>
      <c r="AP26" s="309"/>
      <c r="AQ26" s="310"/>
      <c r="AR26" s="311"/>
      <c r="AS26" s="309"/>
      <c r="AT26" s="312"/>
      <c r="AU26" s="313"/>
      <c r="AV26" s="309"/>
      <c r="AW26" s="312"/>
      <c r="AX26" s="313"/>
      <c r="AY26" s="309"/>
      <c r="AZ26" s="312"/>
      <c r="BA26" s="313"/>
      <c r="BB26" s="309"/>
      <c r="BC26" s="312"/>
      <c r="BD26" s="313"/>
      <c r="BE26" s="309"/>
      <c r="BF26" s="312"/>
      <c r="BG26" s="309"/>
      <c r="BH26" s="309"/>
      <c r="BI26" s="312"/>
      <c r="BJ26" s="313"/>
      <c r="BK26" s="309"/>
      <c r="BL26" s="312"/>
      <c r="BM26" s="313"/>
      <c r="BN26" s="309"/>
      <c r="BO26" s="312"/>
      <c r="BP26" s="313"/>
      <c r="BQ26" s="309"/>
      <c r="BR26" s="312"/>
      <c r="BS26" s="313"/>
      <c r="BT26" s="309"/>
      <c r="BU26" s="386"/>
      <c r="BV26" s="309"/>
      <c r="BW26" s="309"/>
      <c r="BX26" s="312"/>
      <c r="BY26" s="313"/>
      <c r="BZ26" s="309"/>
      <c r="CA26" s="310"/>
      <c r="CB26" s="309"/>
      <c r="CC26" s="309"/>
      <c r="CD26" s="312"/>
      <c r="CE26" s="313"/>
      <c r="CF26" s="309"/>
      <c r="CG26" s="312"/>
      <c r="CH26" s="313"/>
      <c r="CI26" s="309"/>
      <c r="CJ26" s="312"/>
      <c r="CK26" s="313"/>
      <c r="CL26" s="309"/>
      <c r="CM26" s="312"/>
      <c r="CN26" s="313"/>
      <c r="CO26" s="309"/>
      <c r="CP26" s="309"/>
      <c r="CQ26" s="512"/>
    </row>
    <row r="27" spans="1:95" s="271" customFormat="1" ht="21.75" customHeight="1">
      <c r="A27" s="518"/>
      <c r="B27" s="278"/>
      <c r="C27" s="273"/>
      <c r="D27" s="289"/>
      <c r="E27" s="288"/>
      <c r="F27" s="273"/>
      <c r="G27" s="275"/>
      <c r="H27" s="278"/>
      <c r="I27" s="273"/>
      <c r="J27" s="289"/>
      <c r="K27" s="288"/>
      <c r="L27" s="273"/>
      <c r="M27" s="289"/>
      <c r="N27" s="288"/>
      <c r="O27" s="273"/>
      <c r="P27" s="289"/>
      <c r="Q27" s="288"/>
      <c r="R27" s="273"/>
      <c r="S27" s="289"/>
      <c r="T27" s="288"/>
      <c r="U27" s="273"/>
      <c r="V27" s="289"/>
      <c r="W27" s="273"/>
      <c r="X27" s="273"/>
      <c r="Y27" s="289"/>
      <c r="Z27" s="288"/>
      <c r="AA27" s="273"/>
      <c r="AB27" s="289"/>
      <c r="AC27" s="288"/>
      <c r="AD27" s="273"/>
      <c r="AE27" s="289"/>
      <c r="AF27" s="288"/>
      <c r="AG27" s="273"/>
      <c r="AH27" s="289"/>
      <c r="AI27" s="288"/>
      <c r="AJ27" s="273"/>
      <c r="AK27" s="289"/>
      <c r="AL27" s="273"/>
      <c r="AM27" s="273"/>
      <c r="AN27" s="289"/>
      <c r="AO27" s="288"/>
      <c r="AP27" s="273"/>
      <c r="AQ27" s="275"/>
      <c r="AR27" s="278"/>
      <c r="AS27" s="273"/>
      <c r="AT27" s="289"/>
      <c r="AU27" s="288"/>
      <c r="AV27" s="273"/>
      <c r="AW27" s="289"/>
      <c r="AX27" s="288"/>
      <c r="AY27" s="273"/>
      <c r="AZ27" s="289"/>
      <c r="BA27" s="288"/>
      <c r="BB27" s="273"/>
      <c r="BC27" s="289"/>
      <c r="BD27" s="288"/>
      <c r="BE27" s="273"/>
      <c r="BF27" s="289"/>
      <c r="BG27" s="273"/>
      <c r="BH27" s="273"/>
      <c r="BI27" s="289"/>
      <c r="BJ27" s="288"/>
      <c r="BK27" s="273"/>
      <c r="BL27" s="289"/>
      <c r="BM27" s="288"/>
      <c r="BN27" s="273"/>
      <c r="BO27" s="289"/>
      <c r="BP27" s="288"/>
      <c r="BQ27" s="273"/>
      <c r="BR27" s="289"/>
      <c r="BS27" s="288"/>
      <c r="BT27" s="273"/>
      <c r="BU27" s="289"/>
      <c r="BV27" s="273"/>
      <c r="BW27" s="273"/>
      <c r="BX27" s="289"/>
      <c r="BY27" s="288"/>
      <c r="BZ27" s="273"/>
      <c r="CA27" s="275"/>
      <c r="CB27" s="273"/>
      <c r="CC27" s="273"/>
      <c r="CD27" s="289"/>
      <c r="CE27" s="288"/>
      <c r="CF27" s="273"/>
      <c r="CG27" s="289"/>
      <c r="CH27" s="288"/>
      <c r="CI27" s="273"/>
      <c r="CJ27" s="289"/>
      <c r="CK27" s="288"/>
      <c r="CL27" s="273"/>
      <c r="CM27" s="289"/>
      <c r="CN27" s="288"/>
      <c r="CO27" s="273"/>
      <c r="CP27" s="273"/>
      <c r="CQ27" s="512"/>
    </row>
    <row r="28" spans="1:95" s="271" customFormat="1" ht="21.75" customHeight="1">
      <c r="A28" s="526" t="s">
        <v>239</v>
      </c>
      <c r="B28" s="384"/>
      <c r="C28" s="382"/>
      <c r="D28" s="385"/>
      <c r="E28" s="290"/>
      <c r="F28" s="382"/>
      <c r="G28" s="383"/>
      <c r="H28" s="384"/>
      <c r="I28" s="382"/>
      <c r="J28" s="385"/>
      <c r="K28" s="290"/>
      <c r="L28" s="382"/>
      <c r="M28" s="385"/>
      <c r="N28" s="290"/>
      <c r="O28" s="382"/>
      <c r="P28" s="385"/>
      <c r="Q28" s="290"/>
      <c r="R28" s="382"/>
      <c r="S28" s="385"/>
      <c r="T28" s="290"/>
      <c r="U28" s="382"/>
      <c r="V28" s="385"/>
      <c r="W28" s="382"/>
      <c r="X28" s="382"/>
      <c r="Y28" s="385"/>
      <c r="Z28" s="290"/>
      <c r="AA28" s="382"/>
      <c r="AB28" s="385"/>
      <c r="AC28" s="290"/>
      <c r="AD28" s="382"/>
      <c r="AE28" s="385"/>
      <c r="AF28" s="290"/>
      <c r="AG28" s="382"/>
      <c r="AH28" s="385"/>
      <c r="AI28" s="290"/>
      <c r="AJ28" s="382"/>
      <c r="AK28" s="385"/>
      <c r="AL28" s="382"/>
      <c r="AM28" s="382"/>
      <c r="AN28" s="385"/>
      <c r="AO28" s="290"/>
      <c r="AP28" s="382"/>
      <c r="AQ28" s="383"/>
      <c r="AR28" s="384"/>
      <c r="AS28" s="382"/>
      <c r="AT28" s="385"/>
      <c r="AU28" s="290"/>
      <c r="AV28" s="382"/>
      <c r="AW28" s="385"/>
      <c r="AX28" s="290"/>
      <c r="AY28" s="382"/>
      <c r="AZ28" s="385"/>
      <c r="BA28" s="290"/>
      <c r="BB28" s="382"/>
      <c r="BC28" s="385"/>
      <c r="BD28" s="290"/>
      <c r="BE28" s="382"/>
      <c r="BF28" s="385"/>
      <c r="BG28" s="382"/>
      <c r="BH28" s="382"/>
      <c r="BI28" s="385"/>
      <c r="BJ28" s="290"/>
      <c r="BK28" s="382"/>
      <c r="BL28" s="385"/>
      <c r="BM28" s="290"/>
      <c r="BN28" s="382"/>
      <c r="BO28" s="385"/>
      <c r="BP28" s="290"/>
      <c r="BQ28" s="382"/>
      <c r="BR28" s="385"/>
      <c r="BS28" s="290"/>
      <c r="BT28" s="382"/>
      <c r="BU28" s="385"/>
      <c r="BV28" s="382"/>
      <c r="BW28" s="382"/>
      <c r="BX28" s="385"/>
      <c r="BY28" s="290"/>
      <c r="BZ28" s="382"/>
      <c r="CA28" s="383"/>
      <c r="CB28" s="382"/>
      <c r="CC28" s="274"/>
      <c r="CD28" s="291"/>
      <c r="CE28" s="290"/>
      <c r="CF28" s="274"/>
      <c r="CG28" s="291"/>
      <c r="CH28" s="290"/>
      <c r="CI28" s="274"/>
      <c r="CJ28" s="291"/>
      <c r="CK28" s="290"/>
      <c r="CL28" s="274"/>
      <c r="CM28" s="291"/>
      <c r="CN28" s="290"/>
      <c r="CO28" s="274"/>
      <c r="CP28" s="274"/>
      <c r="CQ28" s="525" t="str">
        <f>CQ25</f>
        <v>2020.03.01 ~ 2022.05.31
(27개월)</v>
      </c>
    </row>
    <row r="29" spans="1:95" s="271" customFormat="1" ht="21.75" customHeight="1">
      <c r="A29" s="518"/>
      <c r="B29" s="278"/>
      <c r="C29" s="273"/>
      <c r="D29" s="289"/>
      <c r="E29" s="288"/>
      <c r="F29" s="273"/>
      <c r="G29" s="275"/>
      <c r="H29" s="278"/>
      <c r="I29" s="273"/>
      <c r="J29" s="289"/>
      <c r="K29" s="288"/>
      <c r="L29" s="273"/>
      <c r="M29" s="289"/>
      <c r="N29" s="313"/>
      <c r="O29" s="309"/>
      <c r="P29" s="312"/>
      <c r="Q29" s="313"/>
      <c r="R29" s="309"/>
      <c r="S29" s="312"/>
      <c r="T29" s="313"/>
      <c r="U29" s="309"/>
      <c r="V29" s="312"/>
      <c r="W29" s="309"/>
      <c r="X29" s="309"/>
      <c r="Y29" s="312"/>
      <c r="Z29" s="313"/>
      <c r="AA29" s="309"/>
      <c r="AB29" s="312"/>
      <c r="AC29" s="313"/>
      <c r="AD29" s="309"/>
      <c r="AE29" s="312"/>
      <c r="AF29" s="313"/>
      <c r="AG29" s="309"/>
      <c r="AH29" s="312"/>
      <c r="AI29" s="313"/>
      <c r="AJ29" s="309"/>
      <c r="AK29" s="312"/>
      <c r="AL29" s="309"/>
      <c r="AM29" s="309"/>
      <c r="AN29" s="312"/>
      <c r="AO29" s="313"/>
      <c r="AP29" s="309"/>
      <c r="AQ29" s="310"/>
      <c r="AR29" s="311"/>
      <c r="AS29" s="309"/>
      <c r="AT29" s="312"/>
      <c r="AU29" s="313"/>
      <c r="AV29" s="309"/>
      <c r="AW29" s="312"/>
      <c r="AX29" s="313"/>
      <c r="AY29" s="309"/>
      <c r="AZ29" s="312"/>
      <c r="BA29" s="313"/>
      <c r="BB29" s="309"/>
      <c r="BC29" s="312"/>
      <c r="BD29" s="313"/>
      <c r="BE29" s="309"/>
      <c r="BF29" s="312"/>
      <c r="BG29" s="309"/>
      <c r="BH29" s="309"/>
      <c r="BI29" s="312"/>
      <c r="BJ29" s="313"/>
      <c r="BK29" s="309"/>
      <c r="BL29" s="312"/>
      <c r="BM29" s="313"/>
      <c r="BN29" s="309"/>
      <c r="BO29" s="312"/>
      <c r="BP29" s="313"/>
      <c r="BQ29" s="309"/>
      <c r="BR29" s="312"/>
      <c r="BS29" s="313"/>
      <c r="BT29" s="309"/>
      <c r="BU29" s="312"/>
      <c r="BV29" s="309"/>
      <c r="BW29" s="309"/>
      <c r="BX29" s="312"/>
      <c r="BY29" s="313"/>
      <c r="BZ29" s="309"/>
      <c r="CA29" s="310"/>
      <c r="CB29" s="309"/>
      <c r="CC29" s="309"/>
      <c r="CD29" s="312"/>
      <c r="CE29" s="313"/>
      <c r="CF29" s="309"/>
      <c r="CG29" s="312"/>
      <c r="CH29" s="313"/>
      <c r="CI29" s="309"/>
      <c r="CJ29" s="312"/>
      <c r="CK29" s="313"/>
      <c r="CL29" s="309"/>
      <c r="CM29" s="312"/>
      <c r="CN29" s="313"/>
      <c r="CO29" s="309"/>
      <c r="CP29" s="309"/>
      <c r="CQ29" s="512"/>
    </row>
    <row r="30" spans="1:95" s="271" customFormat="1" ht="21.75" customHeight="1">
      <c r="A30" s="518"/>
      <c r="B30" s="278"/>
      <c r="C30" s="273"/>
      <c r="D30" s="289"/>
      <c r="E30" s="288"/>
      <c r="F30" s="273"/>
      <c r="G30" s="275"/>
      <c r="H30" s="278"/>
      <c r="I30" s="273"/>
      <c r="J30" s="289"/>
      <c r="K30" s="288"/>
      <c r="L30" s="273"/>
      <c r="M30" s="289"/>
      <c r="N30" s="288"/>
      <c r="O30" s="273"/>
      <c r="P30" s="289"/>
      <c r="Q30" s="288"/>
      <c r="R30" s="273"/>
      <c r="S30" s="289"/>
      <c r="T30" s="288"/>
      <c r="U30" s="273"/>
      <c r="V30" s="289"/>
      <c r="W30" s="273"/>
      <c r="X30" s="273"/>
      <c r="Y30" s="289"/>
      <c r="Z30" s="288"/>
      <c r="AA30" s="273"/>
      <c r="AB30" s="289"/>
      <c r="AC30" s="288"/>
      <c r="AD30" s="273"/>
      <c r="AE30" s="289"/>
      <c r="AF30" s="288"/>
      <c r="AG30" s="273"/>
      <c r="AH30" s="289"/>
      <c r="AI30" s="288"/>
      <c r="AJ30" s="273"/>
      <c r="AK30" s="289"/>
      <c r="AL30" s="273"/>
      <c r="AM30" s="273"/>
      <c r="AN30" s="289"/>
      <c r="AO30" s="288"/>
      <c r="AP30" s="273"/>
      <c r="AQ30" s="275"/>
      <c r="AR30" s="278"/>
      <c r="AS30" s="273"/>
      <c r="AT30" s="289"/>
      <c r="AU30" s="288"/>
      <c r="AV30" s="273"/>
      <c r="AW30" s="289"/>
      <c r="AX30" s="288"/>
      <c r="AY30" s="273"/>
      <c r="AZ30" s="289"/>
      <c r="BA30" s="288"/>
      <c r="BB30" s="273"/>
      <c r="BC30" s="289"/>
      <c r="BD30" s="288"/>
      <c r="BE30" s="273"/>
      <c r="BF30" s="289"/>
      <c r="BG30" s="273"/>
      <c r="BH30" s="273"/>
      <c r="BI30" s="289"/>
      <c r="BJ30" s="288"/>
      <c r="BK30" s="273"/>
      <c r="BL30" s="289"/>
      <c r="BM30" s="288"/>
      <c r="BN30" s="273"/>
      <c r="BO30" s="289"/>
      <c r="BP30" s="288"/>
      <c r="BQ30" s="273"/>
      <c r="BR30" s="289"/>
      <c r="BS30" s="288"/>
      <c r="BT30" s="273"/>
      <c r="BU30" s="289"/>
      <c r="BV30" s="273"/>
      <c r="BW30" s="273"/>
      <c r="BX30" s="289"/>
      <c r="BY30" s="288"/>
      <c r="BZ30" s="273"/>
      <c r="CA30" s="275"/>
      <c r="CB30" s="273"/>
      <c r="CC30" s="273"/>
      <c r="CD30" s="289"/>
      <c r="CE30" s="288"/>
      <c r="CF30" s="273"/>
      <c r="CG30" s="289"/>
      <c r="CH30" s="288"/>
      <c r="CI30" s="273"/>
      <c r="CJ30" s="289"/>
      <c r="CK30" s="288"/>
      <c r="CL30" s="273"/>
      <c r="CM30" s="289"/>
      <c r="CN30" s="288"/>
      <c r="CO30" s="273"/>
      <c r="CP30" s="273"/>
      <c r="CQ30" s="512"/>
    </row>
    <row r="31" spans="1:95" s="271" customFormat="1" ht="21.75" customHeight="1">
      <c r="A31" s="526" t="s">
        <v>238</v>
      </c>
      <c r="B31" s="384"/>
      <c r="C31" s="382"/>
      <c r="D31" s="385"/>
      <c r="E31" s="290"/>
      <c r="F31" s="382"/>
      <c r="G31" s="383"/>
      <c r="H31" s="384"/>
      <c r="I31" s="382"/>
      <c r="J31" s="385"/>
      <c r="K31" s="290"/>
      <c r="L31" s="382"/>
      <c r="M31" s="385"/>
      <c r="N31" s="290"/>
      <c r="O31" s="382"/>
      <c r="P31" s="385"/>
      <c r="Q31" s="290"/>
      <c r="R31" s="382"/>
      <c r="S31" s="385"/>
      <c r="T31" s="290"/>
      <c r="U31" s="382"/>
      <c r="V31" s="385"/>
      <c r="W31" s="382"/>
      <c r="X31" s="382"/>
      <c r="Y31" s="385"/>
      <c r="Z31" s="290"/>
      <c r="AA31" s="382"/>
      <c r="AB31" s="385"/>
      <c r="AC31" s="290"/>
      <c r="AD31" s="382"/>
      <c r="AE31" s="385"/>
      <c r="AF31" s="290"/>
      <c r="AG31" s="382"/>
      <c r="AH31" s="385"/>
      <c r="AI31" s="290"/>
      <c r="AJ31" s="382"/>
      <c r="AK31" s="385"/>
      <c r="AL31" s="382"/>
      <c r="AM31" s="382"/>
      <c r="AN31" s="385"/>
      <c r="AO31" s="290"/>
      <c r="AP31" s="382"/>
      <c r="AQ31" s="383"/>
      <c r="AR31" s="384"/>
      <c r="AS31" s="382"/>
      <c r="AT31" s="385"/>
      <c r="AU31" s="290"/>
      <c r="AV31" s="382"/>
      <c r="AW31" s="385"/>
      <c r="AX31" s="290"/>
      <c r="AY31" s="382"/>
      <c r="AZ31" s="385"/>
      <c r="BA31" s="290"/>
      <c r="BB31" s="382"/>
      <c r="BC31" s="385"/>
      <c r="BD31" s="290"/>
      <c r="BE31" s="382"/>
      <c r="BF31" s="385"/>
      <c r="BG31" s="382"/>
      <c r="BH31" s="382"/>
      <c r="BI31" s="385"/>
      <c r="BJ31" s="290"/>
      <c r="BK31" s="382"/>
      <c r="BL31" s="385"/>
      <c r="BM31" s="290"/>
      <c r="BN31" s="382"/>
      <c r="BO31" s="385"/>
      <c r="BP31" s="290"/>
      <c r="BQ31" s="382"/>
      <c r="BR31" s="385"/>
      <c r="BS31" s="290"/>
      <c r="BT31" s="382"/>
      <c r="BU31" s="385"/>
      <c r="BV31" s="382"/>
      <c r="BW31" s="382"/>
      <c r="BX31" s="385"/>
      <c r="BY31" s="290"/>
      <c r="BZ31" s="382"/>
      <c r="CA31" s="383"/>
      <c r="CB31" s="382"/>
      <c r="CC31" s="274"/>
      <c r="CD31" s="291"/>
      <c r="CE31" s="290"/>
      <c r="CF31" s="274"/>
      <c r="CG31" s="291"/>
      <c r="CH31" s="290"/>
      <c r="CI31" s="274"/>
      <c r="CJ31" s="291"/>
      <c r="CK31" s="290"/>
      <c r="CL31" s="274"/>
      <c r="CM31" s="291"/>
      <c r="CN31" s="290"/>
      <c r="CO31" s="274"/>
      <c r="CP31" s="274"/>
      <c r="CQ31" s="525" t="str">
        <f>CQ25</f>
        <v>2020.03.01 ~ 2022.05.31
(27개월)</v>
      </c>
    </row>
    <row r="32" spans="1:95" s="271" customFormat="1" ht="21.75" customHeight="1">
      <c r="A32" s="518"/>
      <c r="B32" s="278"/>
      <c r="C32" s="273"/>
      <c r="D32" s="289"/>
      <c r="E32" s="288"/>
      <c r="F32" s="273"/>
      <c r="G32" s="275"/>
      <c r="H32" s="278"/>
      <c r="I32" s="273"/>
      <c r="J32" s="289"/>
      <c r="K32" s="288"/>
      <c r="L32" s="273"/>
      <c r="M32" s="289"/>
      <c r="N32" s="313"/>
      <c r="O32" s="309"/>
      <c r="P32" s="312"/>
      <c r="Q32" s="313"/>
      <c r="R32" s="309"/>
      <c r="S32" s="312"/>
      <c r="T32" s="313"/>
      <c r="U32" s="309"/>
      <c r="V32" s="312"/>
      <c r="W32" s="309"/>
      <c r="X32" s="309"/>
      <c r="Y32" s="312"/>
      <c r="Z32" s="313"/>
      <c r="AA32" s="309"/>
      <c r="AB32" s="312"/>
      <c r="AC32" s="313"/>
      <c r="AD32" s="309"/>
      <c r="AE32" s="312"/>
      <c r="AF32" s="313"/>
      <c r="AG32" s="309"/>
      <c r="AH32" s="312"/>
      <c r="AI32" s="313"/>
      <c r="AJ32" s="309"/>
      <c r="AK32" s="312"/>
      <c r="AL32" s="309"/>
      <c r="AM32" s="309"/>
      <c r="AN32" s="312"/>
      <c r="AO32" s="313"/>
      <c r="AP32" s="309"/>
      <c r="AQ32" s="310"/>
      <c r="AR32" s="311"/>
      <c r="AS32" s="309"/>
      <c r="AT32" s="312"/>
      <c r="AU32" s="313"/>
      <c r="AV32" s="309"/>
      <c r="AW32" s="312"/>
      <c r="AX32" s="313"/>
      <c r="AY32" s="309"/>
      <c r="AZ32" s="312"/>
      <c r="BA32" s="313"/>
      <c r="BB32" s="309"/>
      <c r="BC32" s="312"/>
      <c r="BD32" s="313"/>
      <c r="BE32" s="309"/>
      <c r="BF32" s="312"/>
      <c r="BG32" s="309"/>
      <c r="BH32" s="309"/>
      <c r="BI32" s="312"/>
      <c r="BJ32" s="313"/>
      <c r="BK32" s="309"/>
      <c r="BL32" s="312"/>
      <c r="BM32" s="313"/>
      <c r="BN32" s="309"/>
      <c r="BO32" s="312"/>
      <c r="BP32" s="313"/>
      <c r="BQ32" s="309"/>
      <c r="BR32" s="312"/>
      <c r="BS32" s="313"/>
      <c r="BT32" s="309"/>
      <c r="BU32" s="312"/>
      <c r="BV32" s="309"/>
      <c r="BW32" s="309"/>
      <c r="BX32" s="312"/>
      <c r="BY32" s="313"/>
      <c r="BZ32" s="309"/>
      <c r="CA32" s="310"/>
      <c r="CB32" s="309"/>
      <c r="CC32" s="309"/>
      <c r="CD32" s="312"/>
      <c r="CE32" s="313"/>
      <c r="CF32" s="309"/>
      <c r="CG32" s="312"/>
      <c r="CH32" s="313"/>
      <c r="CI32" s="309"/>
      <c r="CJ32" s="312"/>
      <c r="CK32" s="313"/>
      <c r="CL32" s="309"/>
      <c r="CM32" s="312"/>
      <c r="CN32" s="313"/>
      <c r="CO32" s="309"/>
      <c r="CP32" s="309"/>
      <c r="CQ32" s="512"/>
    </row>
    <row r="33" spans="1:95" s="271" customFormat="1" ht="21.75" customHeight="1" thickBot="1">
      <c r="A33" s="527"/>
      <c r="B33" s="281"/>
      <c r="C33" s="279"/>
      <c r="D33" s="287"/>
      <c r="E33" s="286"/>
      <c r="F33" s="279"/>
      <c r="G33" s="280"/>
      <c r="H33" s="281"/>
      <c r="I33" s="279"/>
      <c r="J33" s="287"/>
      <c r="K33" s="286"/>
      <c r="L33" s="279"/>
      <c r="M33" s="287"/>
      <c r="N33" s="286"/>
      <c r="O33" s="279"/>
      <c r="P33" s="287"/>
      <c r="Q33" s="286"/>
      <c r="R33" s="279"/>
      <c r="S33" s="287"/>
      <c r="T33" s="286"/>
      <c r="U33" s="279"/>
      <c r="V33" s="287"/>
      <c r="W33" s="279"/>
      <c r="X33" s="279"/>
      <c r="Y33" s="287"/>
      <c r="Z33" s="286"/>
      <c r="AA33" s="279"/>
      <c r="AB33" s="287"/>
      <c r="AC33" s="286"/>
      <c r="AD33" s="279"/>
      <c r="AE33" s="287"/>
      <c r="AF33" s="286"/>
      <c r="AG33" s="279"/>
      <c r="AH33" s="287"/>
      <c r="AI33" s="286"/>
      <c r="AJ33" s="279"/>
      <c r="AK33" s="287"/>
      <c r="AL33" s="279"/>
      <c r="AM33" s="279"/>
      <c r="AN33" s="287"/>
      <c r="AO33" s="286"/>
      <c r="AP33" s="279"/>
      <c r="AQ33" s="280"/>
      <c r="AR33" s="281"/>
      <c r="AS33" s="279"/>
      <c r="AT33" s="287"/>
      <c r="AU33" s="286"/>
      <c r="AV33" s="279"/>
      <c r="AW33" s="287"/>
      <c r="AX33" s="286"/>
      <c r="AY33" s="279"/>
      <c r="AZ33" s="287"/>
      <c r="BA33" s="286"/>
      <c r="BB33" s="279"/>
      <c r="BC33" s="287"/>
      <c r="BD33" s="286"/>
      <c r="BE33" s="279"/>
      <c r="BF33" s="287"/>
      <c r="BG33" s="279"/>
      <c r="BH33" s="279"/>
      <c r="BI33" s="287"/>
      <c r="BJ33" s="286"/>
      <c r="BK33" s="279"/>
      <c r="BL33" s="287"/>
      <c r="BM33" s="286"/>
      <c r="BN33" s="279"/>
      <c r="BO33" s="287"/>
      <c r="BP33" s="286"/>
      <c r="BQ33" s="279"/>
      <c r="BR33" s="287"/>
      <c r="BS33" s="286"/>
      <c r="BT33" s="279"/>
      <c r="BU33" s="287"/>
      <c r="BV33" s="279"/>
      <c r="BW33" s="279"/>
      <c r="BX33" s="287"/>
      <c r="BY33" s="286"/>
      <c r="BZ33" s="279"/>
      <c r="CA33" s="280"/>
      <c r="CB33" s="279"/>
      <c r="CC33" s="279"/>
      <c r="CD33" s="287"/>
      <c r="CE33" s="286"/>
      <c r="CF33" s="279"/>
      <c r="CG33" s="287"/>
      <c r="CH33" s="286"/>
      <c r="CI33" s="279"/>
      <c r="CJ33" s="287"/>
      <c r="CK33" s="286"/>
      <c r="CL33" s="279"/>
      <c r="CM33" s="287"/>
      <c r="CN33" s="286"/>
      <c r="CO33" s="279"/>
      <c r="CP33" s="279"/>
      <c r="CQ33" s="528"/>
    </row>
    <row r="34" spans="1:95" s="283" customFormat="1">
      <c r="A34" s="282"/>
      <c r="B34" s="271"/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1"/>
      <c r="T34" s="271"/>
      <c r="U34" s="271"/>
      <c r="V34" s="271"/>
      <c r="W34" s="271"/>
      <c r="X34" s="271"/>
      <c r="Y34" s="271"/>
      <c r="Z34" s="271"/>
      <c r="AA34" s="271"/>
      <c r="AB34" s="271"/>
      <c r="AC34" s="271"/>
      <c r="AD34" s="271"/>
      <c r="AE34" s="271"/>
      <c r="AF34" s="271"/>
      <c r="AG34" s="271"/>
      <c r="AH34" s="271"/>
      <c r="AI34" s="271"/>
      <c r="AJ34" s="271"/>
      <c r="AK34" s="271"/>
      <c r="AL34" s="271"/>
      <c r="AM34" s="271"/>
      <c r="AN34" s="271"/>
      <c r="AO34" s="271"/>
      <c r="AP34" s="271"/>
      <c r="AQ34" s="271"/>
      <c r="AR34" s="271"/>
      <c r="AS34" s="271"/>
      <c r="AT34" s="271"/>
      <c r="AU34" s="271"/>
      <c r="AV34" s="271"/>
      <c r="AW34" s="271"/>
      <c r="AX34" s="271"/>
      <c r="AY34" s="271"/>
      <c r="AZ34" s="271"/>
      <c r="BA34" s="271"/>
      <c r="BB34" s="271"/>
      <c r="BC34" s="271"/>
      <c r="BD34" s="271"/>
      <c r="BE34" s="271"/>
      <c r="BF34" s="271"/>
      <c r="BG34" s="271"/>
      <c r="BH34" s="271"/>
      <c r="BI34" s="271"/>
      <c r="BJ34" s="271"/>
      <c r="BK34" s="271"/>
      <c r="BL34" s="271"/>
      <c r="BM34" s="271"/>
      <c r="BN34" s="271"/>
      <c r="BO34" s="271"/>
      <c r="BP34" s="271"/>
      <c r="BQ34" s="271"/>
      <c r="BR34" s="271"/>
      <c r="BS34" s="271"/>
      <c r="BT34" s="271"/>
      <c r="BU34" s="271"/>
      <c r="BV34" s="271"/>
      <c r="BW34" s="271"/>
      <c r="BX34" s="271"/>
      <c r="BY34" s="271"/>
      <c r="BZ34" s="271"/>
      <c r="CA34" s="271"/>
      <c r="CB34" s="271"/>
      <c r="CC34" s="271"/>
      <c r="CD34" s="271"/>
      <c r="CE34" s="271"/>
      <c r="CF34" s="271"/>
      <c r="CG34" s="271"/>
      <c r="CH34" s="271"/>
      <c r="CI34" s="271"/>
      <c r="CJ34" s="271"/>
      <c r="CK34" s="271"/>
      <c r="CL34" s="271"/>
      <c r="CM34" s="271"/>
      <c r="CN34" s="271"/>
      <c r="CO34" s="271"/>
      <c r="CP34" s="271"/>
    </row>
    <row r="35" spans="1:95" s="283" customFormat="1">
      <c r="A35" s="282"/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1"/>
      <c r="T35" s="271"/>
      <c r="U35" s="271"/>
      <c r="V35" s="271"/>
      <c r="W35" s="271"/>
      <c r="X35" s="271"/>
      <c r="Y35" s="271"/>
      <c r="Z35" s="271"/>
      <c r="AA35" s="271"/>
      <c r="AB35" s="271"/>
      <c r="AC35" s="271"/>
      <c r="AD35" s="271"/>
      <c r="AE35" s="271"/>
      <c r="AF35" s="271"/>
      <c r="AG35" s="271"/>
      <c r="AH35" s="271"/>
      <c r="AI35" s="271"/>
      <c r="AJ35" s="271"/>
      <c r="AK35" s="271"/>
      <c r="AL35" s="271"/>
      <c r="AM35" s="271"/>
      <c r="AN35" s="271"/>
      <c r="AO35" s="271"/>
      <c r="AP35" s="271"/>
      <c r="AQ35" s="271"/>
      <c r="AR35" s="271"/>
      <c r="AS35" s="271"/>
      <c r="AT35" s="271"/>
      <c r="AU35" s="271"/>
      <c r="AV35" s="271"/>
      <c r="AW35" s="271"/>
      <c r="AX35" s="271"/>
      <c r="AY35" s="271"/>
      <c r="AZ35" s="271"/>
      <c r="BA35" s="271"/>
      <c r="BB35" s="271"/>
      <c r="BC35" s="271"/>
      <c r="BD35" s="271"/>
      <c r="BE35" s="271"/>
      <c r="BF35" s="271"/>
      <c r="BG35" s="271"/>
      <c r="BH35" s="271"/>
      <c r="BI35" s="271"/>
      <c r="BJ35" s="271"/>
      <c r="BK35" s="271"/>
      <c r="BL35" s="271"/>
      <c r="BM35" s="271"/>
      <c r="BN35" s="271"/>
      <c r="BO35" s="271"/>
      <c r="BP35" s="271"/>
      <c r="BQ35" s="271"/>
      <c r="BR35" s="271"/>
      <c r="BS35" s="271"/>
      <c r="BT35" s="271"/>
      <c r="BU35" s="271"/>
      <c r="BV35" s="271"/>
      <c r="BW35" s="271"/>
      <c r="BX35" s="271"/>
      <c r="BY35" s="271"/>
      <c r="BZ35" s="271"/>
      <c r="CA35" s="271"/>
      <c r="CB35" s="271"/>
      <c r="CC35" s="271"/>
      <c r="CD35" s="271"/>
      <c r="CE35" s="271"/>
      <c r="CF35" s="271"/>
      <c r="CG35" s="271"/>
      <c r="CH35" s="271"/>
      <c r="CI35" s="271"/>
      <c r="CJ35" s="271"/>
      <c r="CK35" s="271"/>
      <c r="CL35" s="271"/>
      <c r="CM35" s="271"/>
      <c r="CN35" s="271"/>
      <c r="CO35" s="271"/>
      <c r="CP35" s="271"/>
    </row>
    <row r="36" spans="1:95" s="283" customFormat="1">
      <c r="A36" s="282"/>
    </row>
    <row r="37" spans="1:95" s="283" customFormat="1">
      <c r="A37" s="282"/>
    </row>
    <row r="38" spans="1:95" s="283" customFormat="1">
      <c r="A38" s="282"/>
    </row>
    <row r="39" spans="1:95" s="283" customFormat="1">
      <c r="A39" s="282"/>
    </row>
    <row r="40" spans="1:95" s="283" customFormat="1">
      <c r="A40" s="282"/>
    </row>
    <row r="41" spans="1:95" s="283" customFormat="1">
      <c r="A41" s="282"/>
    </row>
    <row r="42" spans="1:95" s="283" customFormat="1">
      <c r="A42" s="282"/>
    </row>
    <row r="43" spans="1:95" s="283" customFormat="1">
      <c r="A43" s="282"/>
    </row>
    <row r="44" spans="1:95" s="283" customFormat="1">
      <c r="A44" s="282"/>
    </row>
    <row r="45" spans="1:95" s="283" customFormat="1">
      <c r="A45" s="282"/>
    </row>
    <row r="46" spans="1:95" s="283" customFormat="1">
      <c r="A46" s="282"/>
    </row>
    <row r="47" spans="1:95" s="283" customFormat="1">
      <c r="A47" s="282"/>
    </row>
    <row r="48" spans="1:95" s="283" customFormat="1">
      <c r="A48" s="282"/>
    </row>
    <row r="49" spans="1:1" s="283" customFormat="1">
      <c r="A49" s="282"/>
    </row>
    <row r="50" spans="1:1" s="283" customFormat="1">
      <c r="A50" s="282"/>
    </row>
    <row r="51" spans="1:1" s="283" customFormat="1">
      <c r="A51" s="282"/>
    </row>
    <row r="52" spans="1:1" s="283" customFormat="1">
      <c r="A52" s="282"/>
    </row>
    <row r="53" spans="1:1" s="283" customFormat="1">
      <c r="A53" s="282"/>
    </row>
    <row r="54" spans="1:1" s="283" customFormat="1">
      <c r="A54" s="282"/>
    </row>
    <row r="55" spans="1:1" s="283" customFormat="1">
      <c r="A55" s="282"/>
    </row>
    <row r="56" spans="1:1" s="283" customFormat="1">
      <c r="A56" s="282"/>
    </row>
    <row r="57" spans="1:1" s="283" customFormat="1">
      <c r="A57" s="282"/>
    </row>
    <row r="58" spans="1:1" s="283" customFormat="1">
      <c r="A58" s="282"/>
    </row>
    <row r="59" spans="1:1" s="283" customFormat="1">
      <c r="A59" s="282"/>
    </row>
    <row r="60" spans="1:1" s="283" customFormat="1">
      <c r="A60" s="282"/>
    </row>
    <row r="61" spans="1:1" s="283" customFormat="1">
      <c r="A61" s="282"/>
    </row>
    <row r="62" spans="1:1" s="283" customFormat="1">
      <c r="A62" s="282"/>
    </row>
    <row r="63" spans="1:1" s="283" customFormat="1">
      <c r="A63" s="282"/>
    </row>
    <row r="64" spans="1:1" s="283" customFormat="1">
      <c r="A64" s="282"/>
    </row>
    <row r="65" spans="1:1" s="283" customFormat="1">
      <c r="A65" s="282"/>
    </row>
    <row r="66" spans="1:1" s="283" customFormat="1">
      <c r="A66" s="282"/>
    </row>
    <row r="67" spans="1:1" s="283" customFormat="1">
      <c r="A67" s="282"/>
    </row>
    <row r="68" spans="1:1" s="283" customFormat="1">
      <c r="A68" s="282"/>
    </row>
    <row r="69" spans="1:1" s="283" customFormat="1">
      <c r="A69" s="282"/>
    </row>
    <row r="70" spans="1:1" s="283" customFormat="1">
      <c r="A70" s="282"/>
    </row>
    <row r="71" spans="1:1" s="283" customFormat="1">
      <c r="A71" s="282"/>
    </row>
  </sheetData>
  <mergeCells count="87">
    <mergeCell ref="B7:G7"/>
    <mergeCell ref="H7:AQ7"/>
    <mergeCell ref="AR7:CA7"/>
    <mergeCell ref="CB7:CP7"/>
    <mergeCell ref="BY9:CA9"/>
    <mergeCell ref="CB8:CD8"/>
    <mergeCell ref="CE8:CG8"/>
    <mergeCell ref="CH8:CJ8"/>
    <mergeCell ref="CB9:CD9"/>
    <mergeCell ref="CE9:CG9"/>
    <mergeCell ref="CH9:CJ9"/>
    <mergeCell ref="B8:D8"/>
    <mergeCell ref="E8:G8"/>
    <mergeCell ref="T9:V9"/>
    <mergeCell ref="W9:Y9"/>
    <mergeCell ref="BJ8:BL8"/>
    <mergeCell ref="A31:A33"/>
    <mergeCell ref="CQ31:CQ33"/>
    <mergeCell ref="BV8:BX8"/>
    <mergeCell ref="BV9:BX9"/>
    <mergeCell ref="CN8:CP8"/>
    <mergeCell ref="CN9:CP9"/>
    <mergeCell ref="A25:A27"/>
    <mergeCell ref="CQ25:CQ27"/>
    <mergeCell ref="A28:A30"/>
    <mergeCell ref="CQ28:CQ30"/>
    <mergeCell ref="BS8:BU8"/>
    <mergeCell ref="AU9:AW9"/>
    <mergeCell ref="AX9:AZ9"/>
    <mergeCell ref="BA9:BC9"/>
    <mergeCell ref="BD9:BF9"/>
    <mergeCell ref="AR9:AT9"/>
    <mergeCell ref="CQ19:CQ21"/>
    <mergeCell ref="A22:A24"/>
    <mergeCell ref="CQ22:CQ24"/>
    <mergeCell ref="A13:A15"/>
    <mergeCell ref="CQ13:CQ15"/>
    <mergeCell ref="A19:A21"/>
    <mergeCell ref="A16:A18"/>
    <mergeCell ref="CQ16:CQ18"/>
    <mergeCell ref="BS9:BU9"/>
    <mergeCell ref="CK9:CM9"/>
    <mergeCell ref="A10:A12"/>
    <mergeCell ref="BJ9:BL9"/>
    <mergeCell ref="BM9:BO9"/>
    <mergeCell ref="BP9:BR9"/>
    <mergeCell ref="Z9:AB9"/>
    <mergeCell ref="AC9:AE9"/>
    <mergeCell ref="AL9:AN9"/>
    <mergeCell ref="AO9:AQ9"/>
    <mergeCell ref="B9:D9"/>
    <mergeCell ref="E9:G9"/>
    <mergeCell ref="H9:J9"/>
    <mergeCell ref="AF9:AH9"/>
    <mergeCell ref="K9:M9"/>
    <mergeCell ref="N9:P9"/>
    <mergeCell ref="Q9:S9"/>
    <mergeCell ref="CQ10:CQ12"/>
    <mergeCell ref="A1:CQ1"/>
    <mergeCell ref="A3:CQ3"/>
    <mergeCell ref="A4:CQ4"/>
    <mergeCell ref="A5:CQ5"/>
    <mergeCell ref="CQ7:CQ9"/>
    <mergeCell ref="W8:Y8"/>
    <mergeCell ref="Z8:AB8"/>
    <mergeCell ref="AC8:AE8"/>
    <mergeCell ref="AF8:AH8"/>
    <mergeCell ref="AI9:AK9"/>
    <mergeCell ref="BG9:BI9"/>
    <mergeCell ref="AL8:AN8"/>
    <mergeCell ref="BP8:BR8"/>
    <mergeCell ref="AI8:AK8"/>
    <mergeCell ref="CK8:CM8"/>
    <mergeCell ref="BD8:BF8"/>
    <mergeCell ref="BG8:BI8"/>
    <mergeCell ref="BY8:CA8"/>
    <mergeCell ref="H8:J8"/>
    <mergeCell ref="K8:M8"/>
    <mergeCell ref="N8:P8"/>
    <mergeCell ref="Q8:S8"/>
    <mergeCell ref="T8:V8"/>
    <mergeCell ref="AO8:AQ8"/>
    <mergeCell ref="AR8:AT8"/>
    <mergeCell ref="AU8:AW8"/>
    <mergeCell ref="AX8:AZ8"/>
    <mergeCell ref="BA8:BC8"/>
    <mergeCell ref="BM8:BO8"/>
  </mergeCells>
  <phoneticPr fontId="4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6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85"/>
  <sheetViews>
    <sheetView showGridLines="0" showZeros="0" view="pageBreakPreview" topLeftCell="A49" zoomScale="90" zoomScaleNormal="85" zoomScaleSheetLayoutView="90" workbookViewId="0">
      <selection activeCell="J77" sqref="J77:J78"/>
    </sheetView>
  </sheetViews>
  <sheetFormatPr defaultRowHeight="17.100000000000001" customHeight="1" outlineLevelCol="1"/>
  <cols>
    <col min="1" max="1" width="2.77734375" style="179" customWidth="1"/>
    <col min="2" max="2" width="11.44140625" style="179" customWidth="1"/>
    <col min="3" max="3" width="13.44140625" style="179" customWidth="1"/>
    <col min="4" max="4" width="19.6640625" style="180" bestFit="1" customWidth="1"/>
    <col min="5" max="5" width="43.109375" style="181" hidden="1" customWidth="1" outlineLevel="1" collapsed="1"/>
    <col min="6" max="9" width="14.33203125" style="181" hidden="1" customWidth="1" outlineLevel="1"/>
    <col min="10" max="10" width="43.109375" style="181" customWidth="1" collapsed="1"/>
    <col min="11" max="14" width="14.33203125" style="181" customWidth="1" outlineLevel="1"/>
    <col min="15" max="15" width="43.109375" style="181" customWidth="1"/>
    <col min="16" max="19" width="14.33203125" style="181" hidden="1" customWidth="1" outlineLevel="1"/>
    <col min="20" max="20" width="45.109375" style="181" customWidth="1" collapsed="1"/>
    <col min="21" max="21" width="14.33203125" style="181" hidden="1" customWidth="1" outlineLevel="1"/>
    <col min="22" max="22" width="17.44140625" style="181" hidden="1" customWidth="1" outlineLevel="1"/>
    <col min="23" max="24" width="14.33203125" style="181" hidden="1" customWidth="1" outlineLevel="1"/>
    <col min="25" max="25" width="43.88671875" style="181" customWidth="1" collapsed="1"/>
    <col min="26" max="29" width="14.33203125" style="181" hidden="1" customWidth="1" outlineLevel="1"/>
    <col min="30" max="30" width="48.6640625" style="181" customWidth="1" collapsed="1"/>
    <col min="31" max="34" width="14.33203125" style="181" hidden="1" customWidth="1" outlineLevel="1"/>
    <col min="35" max="35" width="48.77734375" style="181" bestFit="1" customWidth="1" collapsed="1"/>
    <col min="36" max="39" width="14.33203125" style="181" hidden="1" customWidth="1" outlineLevel="1"/>
    <col min="40" max="40" width="42.6640625" style="181" customWidth="1" collapsed="1"/>
    <col min="41" max="44" width="14.33203125" style="181" hidden="1" customWidth="1" outlineLevel="1"/>
    <col min="45" max="45" width="43.5546875" style="181" bestFit="1" customWidth="1" collapsed="1"/>
    <col min="46" max="49" width="14.33203125" style="181" hidden="1" customWidth="1" outlineLevel="1"/>
    <col min="50" max="50" width="45.6640625" style="181" customWidth="1" collapsed="1"/>
    <col min="51" max="54" width="14.33203125" style="181" hidden="1" customWidth="1" outlineLevel="1"/>
    <col min="55" max="55" width="14.33203125" style="181" customWidth="1" collapsed="1"/>
    <col min="56" max="56" width="1.44140625" style="179" customWidth="1"/>
    <col min="57" max="57" width="16" style="179" customWidth="1"/>
    <col min="58" max="58" width="8.88671875" style="179" customWidth="1"/>
    <col min="59" max="59" width="10.88671875" style="179" customWidth="1"/>
    <col min="60" max="60" width="12.77734375" style="179" customWidth="1"/>
    <col min="61" max="61" width="11" style="179" customWidth="1"/>
    <col min="62" max="62" width="11.33203125" style="179" bestFit="1" customWidth="1"/>
    <col min="63" max="63" width="11.21875" style="180" bestFit="1" customWidth="1"/>
    <col min="64" max="64" width="11.21875" style="179" bestFit="1" customWidth="1"/>
    <col min="65" max="16384" width="8.88671875" style="179"/>
  </cols>
  <sheetData>
    <row r="1" spans="2:63" ht="17.100000000000001" customHeight="1">
      <c r="B1" s="179" t="s">
        <v>123</v>
      </c>
      <c r="BD1" s="182"/>
      <c r="BE1" s="182"/>
      <c r="BF1" s="182"/>
      <c r="BG1" s="182"/>
      <c r="BH1" s="182"/>
      <c r="BI1" s="182"/>
      <c r="BJ1" s="182"/>
    </row>
    <row r="2" spans="2:63" ht="17.100000000000001" customHeight="1">
      <c r="BD2" s="182"/>
      <c r="BE2" s="182"/>
      <c r="BF2" s="182"/>
      <c r="BG2" s="182"/>
      <c r="BH2" s="182"/>
      <c r="BI2" s="182"/>
      <c r="BJ2" s="182"/>
    </row>
    <row r="3" spans="2:63" ht="25.5" customHeight="1">
      <c r="B3" s="183" t="s">
        <v>124</v>
      </c>
      <c r="C3" s="184"/>
      <c r="D3" s="185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6"/>
      <c r="AC3" s="186"/>
      <c r="AD3" s="186"/>
      <c r="AE3" s="186"/>
      <c r="AF3" s="186"/>
      <c r="AG3" s="186"/>
      <c r="AH3" s="186"/>
      <c r="AI3" s="186"/>
      <c r="AJ3" s="186"/>
      <c r="AK3" s="186"/>
      <c r="AL3" s="186"/>
      <c r="AM3" s="186"/>
      <c r="AN3" s="186"/>
      <c r="AO3" s="186"/>
      <c r="AP3" s="186"/>
      <c r="AQ3" s="186"/>
      <c r="AR3" s="186"/>
      <c r="AS3" s="186"/>
      <c r="AT3" s="186"/>
      <c r="AU3" s="186"/>
      <c r="AV3" s="186"/>
      <c r="AW3" s="186"/>
      <c r="AX3" s="186"/>
      <c r="AY3" s="186"/>
      <c r="AZ3" s="186"/>
      <c r="BA3" s="186"/>
      <c r="BB3" s="186"/>
      <c r="BC3" s="186"/>
      <c r="BD3" s="182"/>
      <c r="BE3" s="182"/>
      <c r="BF3" s="182"/>
      <c r="BG3" s="182"/>
      <c r="BH3" s="182"/>
      <c r="BI3" s="182"/>
      <c r="BJ3" s="182"/>
    </row>
    <row r="4" spans="2:63" ht="17.100000000000001" customHeight="1" thickBot="1">
      <c r="B4" s="259"/>
      <c r="I4" s="187" t="s">
        <v>2</v>
      </c>
      <c r="N4" s="187" t="s">
        <v>2</v>
      </c>
      <c r="S4" s="187" t="s">
        <v>2</v>
      </c>
      <c r="X4" s="187" t="s">
        <v>2</v>
      </c>
      <c r="AC4" s="187"/>
      <c r="AH4" s="187" t="s">
        <v>2</v>
      </c>
      <c r="AM4" s="187" t="s">
        <v>2</v>
      </c>
      <c r="AR4" s="187" t="s">
        <v>2</v>
      </c>
      <c r="AW4" s="187" t="s">
        <v>2</v>
      </c>
      <c r="BB4" s="187"/>
      <c r="BC4" s="187" t="s">
        <v>2</v>
      </c>
      <c r="BD4" s="182"/>
      <c r="BE4" s="182"/>
      <c r="BF4" s="182"/>
      <c r="BG4" s="182"/>
      <c r="BH4" s="182"/>
      <c r="BI4" s="182"/>
      <c r="BJ4" s="182"/>
    </row>
    <row r="5" spans="2:63" s="188" customFormat="1" ht="37.5" customHeight="1" thickBot="1">
      <c r="B5" s="296" t="s">
        <v>38</v>
      </c>
      <c r="C5" s="297" t="s">
        <v>37</v>
      </c>
      <c r="D5" s="298" t="s">
        <v>36</v>
      </c>
      <c r="E5" s="299" t="s">
        <v>411</v>
      </c>
      <c r="F5" s="299" t="s">
        <v>125</v>
      </c>
      <c r="G5" s="299" t="s">
        <v>298</v>
      </c>
      <c r="H5" s="299" t="s">
        <v>126</v>
      </c>
      <c r="I5" s="300" t="s">
        <v>127</v>
      </c>
      <c r="J5" s="299" t="s">
        <v>412</v>
      </c>
      <c r="K5" s="299" t="s">
        <v>125</v>
      </c>
      <c r="L5" s="299" t="s">
        <v>298</v>
      </c>
      <c r="M5" s="299" t="s">
        <v>126</v>
      </c>
      <c r="N5" s="300" t="s">
        <v>127</v>
      </c>
      <c r="O5" s="299" t="s">
        <v>393</v>
      </c>
      <c r="P5" s="299" t="s">
        <v>125</v>
      </c>
      <c r="Q5" s="299" t="s">
        <v>298</v>
      </c>
      <c r="R5" s="299" t="s">
        <v>126</v>
      </c>
      <c r="S5" s="300" t="s">
        <v>127</v>
      </c>
      <c r="T5" s="299" t="s">
        <v>394</v>
      </c>
      <c r="U5" s="299" t="s">
        <v>125</v>
      </c>
      <c r="V5" s="299" t="s">
        <v>298</v>
      </c>
      <c r="W5" s="299" t="s">
        <v>126</v>
      </c>
      <c r="X5" s="300" t="s">
        <v>127</v>
      </c>
      <c r="Y5" s="299" t="s">
        <v>395</v>
      </c>
      <c r="Z5" s="299" t="s">
        <v>125</v>
      </c>
      <c r="AA5" s="299" t="s">
        <v>298</v>
      </c>
      <c r="AB5" s="299" t="s">
        <v>126</v>
      </c>
      <c r="AC5" s="300" t="s">
        <v>127</v>
      </c>
      <c r="AD5" s="299" t="s">
        <v>396</v>
      </c>
      <c r="AE5" s="299" t="s">
        <v>125</v>
      </c>
      <c r="AF5" s="299" t="s">
        <v>298</v>
      </c>
      <c r="AG5" s="299" t="s">
        <v>126</v>
      </c>
      <c r="AH5" s="300" t="s">
        <v>127</v>
      </c>
      <c r="AI5" s="299" t="s">
        <v>397</v>
      </c>
      <c r="AJ5" s="299" t="s">
        <v>125</v>
      </c>
      <c r="AK5" s="299" t="s">
        <v>298</v>
      </c>
      <c r="AL5" s="299" t="s">
        <v>126</v>
      </c>
      <c r="AM5" s="300" t="s">
        <v>127</v>
      </c>
      <c r="AN5" s="299" t="s">
        <v>398</v>
      </c>
      <c r="AO5" s="299" t="s">
        <v>125</v>
      </c>
      <c r="AP5" s="299" t="s">
        <v>298</v>
      </c>
      <c r="AQ5" s="299" t="s">
        <v>126</v>
      </c>
      <c r="AR5" s="300" t="s">
        <v>127</v>
      </c>
      <c r="AS5" s="299" t="s">
        <v>399</v>
      </c>
      <c r="AT5" s="299" t="s">
        <v>125</v>
      </c>
      <c r="AU5" s="299" t="s">
        <v>298</v>
      </c>
      <c r="AV5" s="299" t="s">
        <v>126</v>
      </c>
      <c r="AW5" s="300" t="s">
        <v>127</v>
      </c>
      <c r="AX5" s="299" t="s">
        <v>400</v>
      </c>
      <c r="AY5" s="299" t="s">
        <v>125</v>
      </c>
      <c r="AZ5" s="299" t="s">
        <v>298</v>
      </c>
      <c r="BA5" s="299" t="s">
        <v>126</v>
      </c>
      <c r="BB5" s="300" t="s">
        <v>127</v>
      </c>
      <c r="BC5" s="300" t="s">
        <v>388</v>
      </c>
      <c r="BD5" s="189"/>
      <c r="BE5" s="189"/>
      <c r="BF5" s="189"/>
      <c r="BG5" s="189"/>
      <c r="BH5" s="189"/>
      <c r="BI5" s="189"/>
      <c r="BJ5" s="189"/>
      <c r="BK5" s="190"/>
    </row>
    <row r="6" spans="2:63" ht="37.5" customHeight="1" thickTop="1">
      <c r="B6" s="545" t="s">
        <v>259</v>
      </c>
      <c r="C6" s="546"/>
      <c r="D6" s="546"/>
      <c r="E6" s="345" t="s">
        <v>401</v>
      </c>
      <c r="F6" s="346"/>
      <c r="G6" s="346"/>
      <c r="H6" s="346"/>
      <c r="I6" s="358"/>
      <c r="J6" s="345" t="s">
        <v>401</v>
      </c>
      <c r="K6" s="346"/>
      <c r="L6" s="346"/>
      <c r="M6" s="346"/>
      <c r="N6" s="358"/>
      <c r="O6" s="345" t="s">
        <v>344</v>
      </c>
      <c r="P6" s="346"/>
      <c r="Q6" s="346"/>
      <c r="R6" s="346"/>
      <c r="S6" s="358"/>
      <c r="T6" s="345" t="s">
        <v>268</v>
      </c>
      <c r="U6" s="346"/>
      <c r="V6" s="346"/>
      <c r="W6" s="346"/>
      <c r="X6" s="347"/>
      <c r="Y6" s="345" t="s">
        <v>373</v>
      </c>
      <c r="Z6" s="346"/>
      <c r="AA6" s="346"/>
      <c r="AB6" s="346"/>
      <c r="AC6" s="347"/>
      <c r="AD6" s="345" t="s">
        <v>329</v>
      </c>
      <c r="AE6" s="346"/>
      <c r="AF6" s="346"/>
      <c r="AG6" s="346"/>
      <c r="AH6" s="347"/>
      <c r="AI6" s="345" t="s">
        <v>283</v>
      </c>
      <c r="AJ6" s="346"/>
      <c r="AK6" s="346"/>
      <c r="AL6" s="346"/>
      <c r="AM6" s="347"/>
      <c r="AN6" s="345" t="s">
        <v>314</v>
      </c>
      <c r="AO6" s="346"/>
      <c r="AP6" s="346"/>
      <c r="AQ6" s="346"/>
      <c r="AR6" s="347"/>
      <c r="AS6" s="345" t="s">
        <v>299</v>
      </c>
      <c r="AT6" s="346"/>
      <c r="AU6" s="346"/>
      <c r="AV6" s="346"/>
      <c r="AW6" s="347"/>
      <c r="AX6" s="345" t="s">
        <v>359</v>
      </c>
      <c r="AY6" s="346"/>
      <c r="AZ6" s="346"/>
      <c r="BA6" s="346"/>
      <c r="BB6" s="358"/>
      <c r="BC6" s="361"/>
      <c r="BD6" s="182"/>
      <c r="BE6" s="182"/>
      <c r="BF6" s="182"/>
      <c r="BG6" s="182"/>
      <c r="BH6" s="182"/>
      <c r="BI6" s="182"/>
      <c r="BJ6" s="182"/>
    </row>
    <row r="7" spans="2:63" ht="37.5" customHeight="1">
      <c r="B7" s="538" t="s">
        <v>260</v>
      </c>
      <c r="C7" s="539"/>
      <c r="D7" s="539"/>
      <c r="E7" s="348" t="s">
        <v>402</v>
      </c>
      <c r="F7" s="349"/>
      <c r="G7" s="349"/>
      <c r="H7" s="349"/>
      <c r="I7" s="359"/>
      <c r="J7" s="348" t="s">
        <v>402</v>
      </c>
      <c r="K7" s="349"/>
      <c r="L7" s="349"/>
      <c r="M7" s="349"/>
      <c r="N7" s="359"/>
      <c r="O7" s="348" t="s">
        <v>345</v>
      </c>
      <c r="P7" s="349"/>
      <c r="Q7" s="349"/>
      <c r="R7" s="349"/>
      <c r="S7" s="359"/>
      <c r="T7" s="348" t="s">
        <v>269</v>
      </c>
      <c r="U7" s="349"/>
      <c r="V7" s="349"/>
      <c r="W7" s="349"/>
      <c r="X7" s="350"/>
      <c r="Y7" s="348" t="s">
        <v>374</v>
      </c>
      <c r="Z7" s="349"/>
      <c r="AA7" s="349"/>
      <c r="AB7" s="349"/>
      <c r="AC7" s="350"/>
      <c r="AD7" s="348" t="s">
        <v>330</v>
      </c>
      <c r="AE7" s="349"/>
      <c r="AF7" s="349"/>
      <c r="AG7" s="349"/>
      <c r="AH7" s="350"/>
      <c r="AI7" s="348" t="s">
        <v>284</v>
      </c>
      <c r="AJ7" s="349"/>
      <c r="AK7" s="349"/>
      <c r="AL7" s="349"/>
      <c r="AM7" s="350"/>
      <c r="AN7" s="348" t="s">
        <v>315</v>
      </c>
      <c r="AO7" s="349"/>
      <c r="AP7" s="349"/>
      <c r="AQ7" s="349"/>
      <c r="AR7" s="350"/>
      <c r="AS7" s="348" t="s">
        <v>300</v>
      </c>
      <c r="AT7" s="349"/>
      <c r="AU7" s="349"/>
      <c r="AV7" s="349"/>
      <c r="AW7" s="350"/>
      <c r="AX7" s="348" t="s">
        <v>360</v>
      </c>
      <c r="AY7" s="349"/>
      <c r="AZ7" s="349"/>
      <c r="BA7" s="349"/>
      <c r="BB7" s="359"/>
      <c r="BC7" s="362"/>
      <c r="BD7" s="182"/>
      <c r="BE7" s="182"/>
      <c r="BF7" s="182"/>
      <c r="BG7" s="182"/>
      <c r="BH7" s="182"/>
      <c r="BI7" s="182"/>
      <c r="BJ7" s="182"/>
    </row>
    <row r="8" spans="2:63" ht="37.5" customHeight="1">
      <c r="B8" s="538" t="s">
        <v>261</v>
      </c>
      <c r="C8" s="539"/>
      <c r="D8" s="539"/>
      <c r="E8" s="348" t="s">
        <v>403</v>
      </c>
      <c r="F8" s="349"/>
      <c r="G8" s="349"/>
      <c r="H8" s="349"/>
      <c r="I8" s="359"/>
      <c r="J8" s="348" t="s">
        <v>403</v>
      </c>
      <c r="K8" s="349"/>
      <c r="L8" s="349"/>
      <c r="M8" s="349"/>
      <c r="N8" s="359"/>
      <c r="O8" s="348" t="s">
        <v>346</v>
      </c>
      <c r="P8" s="349"/>
      <c r="Q8" s="349"/>
      <c r="R8" s="349"/>
      <c r="S8" s="359"/>
      <c r="T8" s="348" t="s">
        <v>270</v>
      </c>
      <c r="U8" s="349"/>
      <c r="V8" s="349"/>
      <c r="W8" s="349"/>
      <c r="X8" s="350"/>
      <c r="Y8" s="348" t="s">
        <v>375</v>
      </c>
      <c r="Z8" s="349"/>
      <c r="AA8" s="349"/>
      <c r="AB8" s="349"/>
      <c r="AC8" s="350"/>
      <c r="AD8" s="348" t="s">
        <v>331</v>
      </c>
      <c r="AE8" s="349"/>
      <c r="AF8" s="349"/>
      <c r="AG8" s="349"/>
      <c r="AH8" s="350"/>
      <c r="AI8" s="348" t="s">
        <v>285</v>
      </c>
      <c r="AJ8" s="349"/>
      <c r="AK8" s="349"/>
      <c r="AL8" s="349"/>
      <c r="AM8" s="350"/>
      <c r="AN8" s="348" t="s">
        <v>316</v>
      </c>
      <c r="AO8" s="349"/>
      <c r="AP8" s="349"/>
      <c r="AQ8" s="349"/>
      <c r="AR8" s="350"/>
      <c r="AS8" s="348" t="s">
        <v>301</v>
      </c>
      <c r="AT8" s="349"/>
      <c r="AU8" s="349"/>
      <c r="AV8" s="349"/>
      <c r="AW8" s="350"/>
      <c r="AX8" s="348" t="s">
        <v>361</v>
      </c>
      <c r="AY8" s="349"/>
      <c r="AZ8" s="349"/>
      <c r="BA8" s="349"/>
      <c r="BB8" s="359"/>
      <c r="BC8" s="362"/>
      <c r="BD8" s="182"/>
      <c r="BE8" s="182"/>
      <c r="BF8" s="182"/>
      <c r="BG8" s="182"/>
      <c r="BH8" s="182"/>
      <c r="BI8" s="182"/>
      <c r="BJ8" s="182"/>
    </row>
    <row r="9" spans="2:63" ht="37.5" customHeight="1">
      <c r="B9" s="547" t="s">
        <v>262</v>
      </c>
      <c r="C9" s="548"/>
      <c r="D9" s="548"/>
      <c r="E9" s="348" t="s">
        <v>404</v>
      </c>
      <c r="F9" s="349"/>
      <c r="G9" s="349"/>
      <c r="H9" s="349"/>
      <c r="I9" s="359"/>
      <c r="J9" s="348" t="s">
        <v>404</v>
      </c>
      <c r="K9" s="349"/>
      <c r="L9" s="349"/>
      <c r="M9" s="349"/>
      <c r="N9" s="359"/>
      <c r="O9" s="348" t="s">
        <v>347</v>
      </c>
      <c r="P9" s="349"/>
      <c r="Q9" s="349"/>
      <c r="R9" s="349"/>
      <c r="S9" s="359"/>
      <c r="T9" s="348" t="s">
        <v>271</v>
      </c>
      <c r="U9" s="349"/>
      <c r="V9" s="349"/>
      <c r="W9" s="349"/>
      <c r="X9" s="350"/>
      <c r="Y9" s="348" t="s">
        <v>376</v>
      </c>
      <c r="Z9" s="349"/>
      <c r="AA9" s="349"/>
      <c r="AB9" s="349"/>
      <c r="AC9" s="350"/>
      <c r="AD9" s="348" t="s">
        <v>332</v>
      </c>
      <c r="AE9" s="349"/>
      <c r="AF9" s="349"/>
      <c r="AG9" s="349"/>
      <c r="AH9" s="350"/>
      <c r="AI9" s="348" t="s">
        <v>286</v>
      </c>
      <c r="AJ9" s="349"/>
      <c r="AK9" s="349"/>
      <c r="AL9" s="349"/>
      <c r="AM9" s="350"/>
      <c r="AN9" s="348" t="s">
        <v>317</v>
      </c>
      <c r="AO9" s="349"/>
      <c r="AP9" s="349"/>
      <c r="AQ9" s="349"/>
      <c r="AR9" s="350"/>
      <c r="AS9" s="348" t="s">
        <v>302</v>
      </c>
      <c r="AT9" s="349"/>
      <c r="AU9" s="349"/>
      <c r="AV9" s="349"/>
      <c r="AW9" s="350"/>
      <c r="AX9" s="348" t="s">
        <v>362</v>
      </c>
      <c r="AY9" s="349"/>
      <c r="AZ9" s="349"/>
      <c r="BA9" s="349"/>
      <c r="BB9" s="359"/>
      <c r="BC9" s="362"/>
      <c r="BD9" s="182"/>
      <c r="BE9" s="182"/>
      <c r="BF9" s="182"/>
      <c r="BG9" s="182"/>
      <c r="BH9" s="182"/>
      <c r="BI9" s="182"/>
      <c r="BJ9" s="182"/>
    </row>
    <row r="10" spans="2:63" ht="37.5" customHeight="1">
      <c r="B10" s="549" t="s">
        <v>253</v>
      </c>
      <c r="C10" s="550"/>
      <c r="D10" s="550"/>
      <c r="E10" s="348" t="s">
        <v>405</v>
      </c>
      <c r="F10" s="349"/>
      <c r="G10" s="349"/>
      <c r="H10" s="349"/>
      <c r="I10" s="359"/>
      <c r="J10" s="348" t="s">
        <v>405</v>
      </c>
      <c r="K10" s="349"/>
      <c r="L10" s="349"/>
      <c r="M10" s="349"/>
      <c r="N10" s="359"/>
      <c r="O10" s="348" t="s">
        <v>348</v>
      </c>
      <c r="P10" s="349"/>
      <c r="Q10" s="349"/>
      <c r="R10" s="349"/>
      <c r="S10" s="359"/>
      <c r="T10" s="348" t="s">
        <v>272</v>
      </c>
      <c r="U10" s="349"/>
      <c r="V10" s="349"/>
      <c r="W10" s="349"/>
      <c r="X10" s="350"/>
      <c r="Y10" s="348" t="s">
        <v>377</v>
      </c>
      <c r="Z10" s="349"/>
      <c r="AA10" s="349"/>
      <c r="AB10" s="349"/>
      <c r="AC10" s="350"/>
      <c r="AD10" s="348" t="s">
        <v>333</v>
      </c>
      <c r="AE10" s="349"/>
      <c r="AF10" s="349"/>
      <c r="AG10" s="349"/>
      <c r="AH10" s="350"/>
      <c r="AI10" s="348" t="s">
        <v>287</v>
      </c>
      <c r="AJ10" s="349"/>
      <c r="AK10" s="349"/>
      <c r="AL10" s="349"/>
      <c r="AM10" s="350"/>
      <c r="AN10" s="348" t="s">
        <v>318</v>
      </c>
      <c r="AO10" s="349"/>
      <c r="AP10" s="349"/>
      <c r="AQ10" s="349"/>
      <c r="AR10" s="350"/>
      <c r="AS10" s="348" t="s">
        <v>303</v>
      </c>
      <c r="AT10" s="349"/>
      <c r="AU10" s="349"/>
      <c r="AV10" s="349"/>
      <c r="AW10" s="350"/>
      <c r="AX10" s="348" t="s">
        <v>363</v>
      </c>
      <c r="AY10" s="349"/>
      <c r="AZ10" s="349"/>
      <c r="BA10" s="349"/>
      <c r="BB10" s="359"/>
      <c r="BC10" s="362"/>
      <c r="BD10" s="182"/>
      <c r="BE10" s="182"/>
      <c r="BF10" s="182"/>
      <c r="BG10" s="182"/>
      <c r="BH10" s="182"/>
      <c r="BI10" s="182"/>
      <c r="BJ10" s="182"/>
    </row>
    <row r="11" spans="2:63" ht="37.5" customHeight="1">
      <c r="B11" s="536" t="s">
        <v>254</v>
      </c>
      <c r="C11" s="537"/>
      <c r="D11" s="537"/>
      <c r="E11" s="348" t="s">
        <v>406</v>
      </c>
      <c r="F11" s="349"/>
      <c r="G11" s="349"/>
      <c r="H11" s="349"/>
      <c r="I11" s="359"/>
      <c r="J11" s="348" t="s">
        <v>406</v>
      </c>
      <c r="K11" s="349"/>
      <c r="L11" s="349"/>
      <c r="M11" s="349"/>
      <c r="N11" s="359"/>
      <c r="O11" s="348" t="s">
        <v>349</v>
      </c>
      <c r="P11" s="349"/>
      <c r="Q11" s="349"/>
      <c r="R11" s="349"/>
      <c r="S11" s="359"/>
      <c r="T11" s="348" t="s">
        <v>273</v>
      </c>
      <c r="U11" s="349"/>
      <c r="V11" s="349"/>
      <c r="W11" s="349"/>
      <c r="X11" s="350"/>
      <c r="Y11" s="348" t="s">
        <v>378</v>
      </c>
      <c r="Z11" s="349"/>
      <c r="AA11" s="349"/>
      <c r="AB11" s="349"/>
      <c r="AC11" s="350"/>
      <c r="AD11" s="348" t="s">
        <v>334</v>
      </c>
      <c r="AE11" s="349"/>
      <c r="AF11" s="349"/>
      <c r="AG11" s="349"/>
      <c r="AH11" s="350"/>
      <c r="AI11" s="348" t="s">
        <v>288</v>
      </c>
      <c r="AJ11" s="349"/>
      <c r="AK11" s="349"/>
      <c r="AL11" s="349"/>
      <c r="AM11" s="350"/>
      <c r="AN11" s="348" t="s">
        <v>319</v>
      </c>
      <c r="AO11" s="349"/>
      <c r="AP11" s="349"/>
      <c r="AQ11" s="349"/>
      <c r="AR11" s="350"/>
      <c r="AS11" s="348" t="s">
        <v>304</v>
      </c>
      <c r="AT11" s="349"/>
      <c r="AU11" s="349"/>
      <c r="AV11" s="349"/>
      <c r="AW11" s="350"/>
      <c r="AX11" s="348" t="s">
        <v>364</v>
      </c>
      <c r="AY11" s="349"/>
      <c r="AZ11" s="349"/>
      <c r="BA11" s="349"/>
      <c r="BB11" s="359"/>
      <c r="BC11" s="362"/>
      <c r="BD11" s="182"/>
      <c r="BE11" s="182"/>
      <c r="BF11" s="182"/>
      <c r="BG11" s="182"/>
      <c r="BH11" s="182"/>
      <c r="BI11" s="182"/>
      <c r="BJ11" s="182"/>
    </row>
    <row r="12" spans="2:63" ht="37.5" customHeight="1">
      <c r="B12" s="538" t="s">
        <v>267</v>
      </c>
      <c r="C12" s="539"/>
      <c r="D12" s="539"/>
      <c r="E12" s="351">
        <f>76618*0.3025</f>
        <v>23176.945</v>
      </c>
      <c r="F12" s="349"/>
      <c r="G12" s="349"/>
      <c r="H12" s="349"/>
      <c r="I12" s="359"/>
      <c r="J12" s="351">
        <f>76618*0.3025</f>
        <v>23176.945</v>
      </c>
      <c r="K12" s="349"/>
      <c r="L12" s="349"/>
      <c r="M12" s="349"/>
      <c r="N12" s="359"/>
      <c r="O12" s="351">
        <f>59667*0.3025</f>
        <v>18049.267499999998</v>
      </c>
      <c r="P12" s="349"/>
      <c r="Q12" s="349"/>
      <c r="R12" s="349"/>
      <c r="S12" s="359"/>
      <c r="T12" s="351">
        <f>57122*0.3025</f>
        <v>17279.404999999999</v>
      </c>
      <c r="U12" s="349"/>
      <c r="V12" s="349"/>
      <c r="W12" s="349"/>
      <c r="X12" s="350"/>
      <c r="Y12" s="351">
        <f>23841*0.3025</f>
        <v>7211.9025000000001</v>
      </c>
      <c r="Z12" s="349"/>
      <c r="AA12" s="349"/>
      <c r="AB12" s="349"/>
      <c r="AC12" s="350"/>
      <c r="AD12" s="351">
        <f>65087*0.3025</f>
        <v>19688.817500000001</v>
      </c>
      <c r="AE12" s="349"/>
      <c r="AF12" s="349"/>
      <c r="AG12" s="349"/>
      <c r="AH12" s="350"/>
      <c r="AI12" s="351">
        <f>85540*0.3025</f>
        <v>25875.85</v>
      </c>
      <c r="AJ12" s="349"/>
      <c r="AK12" s="349"/>
      <c r="AL12" s="349"/>
      <c r="AM12" s="350"/>
      <c r="AN12" s="351">
        <f>45732*0.3025</f>
        <v>13833.93</v>
      </c>
      <c r="AO12" s="349"/>
      <c r="AP12" s="349"/>
      <c r="AQ12" s="349"/>
      <c r="AR12" s="350"/>
      <c r="AS12" s="351">
        <f>69448*0.3025</f>
        <v>21008.02</v>
      </c>
      <c r="AT12" s="349"/>
      <c r="AU12" s="349"/>
      <c r="AV12" s="349"/>
      <c r="AW12" s="350"/>
      <c r="AX12" s="351">
        <f>70422*0.3025</f>
        <v>21302.654999999999</v>
      </c>
      <c r="AY12" s="349"/>
      <c r="AZ12" s="349"/>
      <c r="BA12" s="349"/>
      <c r="BB12" s="359"/>
      <c r="BC12" s="362"/>
      <c r="BD12" s="182"/>
      <c r="BE12" s="182"/>
      <c r="BF12" s="182"/>
      <c r="BG12" s="182"/>
      <c r="BH12" s="182"/>
      <c r="BI12" s="182"/>
      <c r="BJ12" s="182"/>
    </row>
    <row r="13" spans="2:63" ht="37.5" customHeight="1">
      <c r="B13" s="538" t="s">
        <v>254</v>
      </c>
      <c r="C13" s="539"/>
      <c r="D13" s="539"/>
      <c r="E13" s="351">
        <f>205060.9471*0.3025</f>
        <v>62030.936497749994</v>
      </c>
      <c r="F13" s="349"/>
      <c r="G13" s="349"/>
      <c r="H13" s="349"/>
      <c r="I13" s="359"/>
      <c r="J13" s="351">
        <f>205060.9471*0.3025</f>
        <v>62030.936497749994</v>
      </c>
      <c r="K13" s="349"/>
      <c r="L13" s="349"/>
      <c r="M13" s="349"/>
      <c r="N13" s="359"/>
      <c r="O13" s="351">
        <f>177663.0224*0.3025</f>
        <v>53743.064275999997</v>
      </c>
      <c r="P13" s="349"/>
      <c r="Q13" s="349"/>
      <c r="R13" s="349"/>
      <c r="S13" s="359"/>
      <c r="T13" s="351">
        <f>153713.4289*0.3025</f>
        <v>46498.312242250002</v>
      </c>
      <c r="U13" s="349"/>
      <c r="V13" s="349"/>
      <c r="W13" s="349"/>
      <c r="X13" s="350"/>
      <c r="Y13" s="351">
        <f>75776.9324*0.3025</f>
        <v>22922.522051</v>
      </c>
      <c r="Z13" s="349"/>
      <c r="AA13" s="349"/>
      <c r="AB13" s="349"/>
      <c r="AC13" s="350"/>
      <c r="AD13" s="351">
        <f>198931.2606*0.3025</f>
        <v>60176.706331499998</v>
      </c>
      <c r="AE13" s="349"/>
      <c r="AF13" s="349"/>
      <c r="AG13" s="349"/>
      <c r="AH13" s="350"/>
      <c r="AI13" s="351">
        <f>284130.39*0.3025</f>
        <v>85949.442974999998</v>
      </c>
      <c r="AJ13" s="349"/>
      <c r="AK13" s="349"/>
      <c r="AL13" s="349"/>
      <c r="AM13" s="350"/>
      <c r="AN13" s="351">
        <f>143911.6847*0.3025</f>
        <v>43533.284621750005</v>
      </c>
      <c r="AO13" s="349"/>
      <c r="AP13" s="349"/>
      <c r="AQ13" s="349"/>
      <c r="AR13" s="350"/>
      <c r="AS13" s="351">
        <f>222390.1418*0.3025</f>
        <v>67273.017894500008</v>
      </c>
      <c r="AT13" s="349"/>
      <c r="AU13" s="349"/>
      <c r="AV13" s="349"/>
      <c r="AW13" s="350"/>
      <c r="AX13" s="351">
        <f>466221.1759*0.3025</f>
        <v>141031.90570974999</v>
      </c>
      <c r="AY13" s="349"/>
      <c r="AZ13" s="349"/>
      <c r="BA13" s="349"/>
      <c r="BB13" s="359"/>
      <c r="BC13" s="362"/>
      <c r="BD13" s="182"/>
      <c r="BE13" s="182"/>
      <c r="BF13" s="182"/>
      <c r="BG13" s="182"/>
      <c r="BH13" s="182"/>
      <c r="BI13" s="182"/>
      <c r="BJ13" s="182"/>
    </row>
    <row r="14" spans="2:63" ht="37.5" customHeight="1">
      <c r="B14" s="538" t="s">
        <v>263</v>
      </c>
      <c r="C14" s="539"/>
      <c r="D14" s="539"/>
      <c r="E14" s="348" t="s">
        <v>407</v>
      </c>
      <c r="F14" s="349"/>
      <c r="G14" s="349"/>
      <c r="H14" s="349"/>
      <c r="I14" s="359"/>
      <c r="J14" s="348" t="s">
        <v>407</v>
      </c>
      <c r="K14" s="349"/>
      <c r="L14" s="349"/>
      <c r="M14" s="349"/>
      <c r="N14" s="359"/>
      <c r="O14" s="348" t="s">
        <v>350</v>
      </c>
      <c r="P14" s="349"/>
      <c r="Q14" s="349"/>
      <c r="R14" s="349"/>
      <c r="S14" s="359"/>
      <c r="T14" s="348" t="s">
        <v>274</v>
      </c>
      <c r="U14" s="349"/>
      <c r="V14" s="349"/>
      <c r="W14" s="349"/>
      <c r="X14" s="350"/>
      <c r="Y14" s="348" t="s">
        <v>379</v>
      </c>
      <c r="Z14" s="349"/>
      <c r="AA14" s="349"/>
      <c r="AB14" s="349"/>
      <c r="AC14" s="350"/>
      <c r="AD14" s="348" t="s">
        <v>335</v>
      </c>
      <c r="AE14" s="349"/>
      <c r="AF14" s="349"/>
      <c r="AG14" s="349"/>
      <c r="AH14" s="350"/>
      <c r="AI14" s="348" t="s">
        <v>289</v>
      </c>
      <c r="AJ14" s="349"/>
      <c r="AK14" s="349"/>
      <c r="AL14" s="349"/>
      <c r="AM14" s="350"/>
      <c r="AN14" s="348" t="s">
        <v>320</v>
      </c>
      <c r="AO14" s="349"/>
      <c r="AP14" s="349"/>
      <c r="AQ14" s="349"/>
      <c r="AR14" s="350"/>
      <c r="AS14" s="348" t="s">
        <v>305</v>
      </c>
      <c r="AT14" s="349"/>
      <c r="AU14" s="349"/>
      <c r="AV14" s="349"/>
      <c r="AW14" s="350"/>
      <c r="AX14" s="364" t="s">
        <v>392</v>
      </c>
      <c r="AY14" s="349"/>
      <c r="AZ14" s="349"/>
      <c r="BA14" s="349"/>
      <c r="BB14" s="359"/>
      <c r="BC14" s="362"/>
      <c r="BD14" s="182"/>
      <c r="BE14" s="182"/>
      <c r="BF14" s="182"/>
      <c r="BG14" s="182"/>
      <c r="BH14" s="182"/>
      <c r="BI14" s="182"/>
      <c r="BJ14" s="182"/>
    </row>
    <row r="15" spans="2:63" ht="37.5" customHeight="1">
      <c r="B15" s="538" t="s">
        <v>264</v>
      </c>
      <c r="C15" s="539"/>
      <c r="D15" s="539"/>
      <c r="E15" s="348" t="s">
        <v>408</v>
      </c>
      <c r="F15" s="349"/>
      <c r="G15" s="349"/>
      <c r="H15" s="349"/>
      <c r="I15" s="359"/>
      <c r="J15" s="348" t="s">
        <v>408</v>
      </c>
      <c r="K15" s="349"/>
      <c r="L15" s="349"/>
      <c r="M15" s="349"/>
      <c r="N15" s="359"/>
      <c r="O15" s="348" t="s">
        <v>351</v>
      </c>
      <c r="P15" s="349"/>
      <c r="Q15" s="349"/>
      <c r="R15" s="349"/>
      <c r="S15" s="359"/>
      <c r="T15" s="348" t="s">
        <v>275</v>
      </c>
      <c r="U15" s="349"/>
      <c r="V15" s="349"/>
      <c r="W15" s="349"/>
      <c r="X15" s="350"/>
      <c r="Y15" s="348" t="s">
        <v>380</v>
      </c>
      <c r="Z15" s="349"/>
      <c r="AA15" s="349"/>
      <c r="AB15" s="349"/>
      <c r="AC15" s="350"/>
      <c r="AD15" s="348" t="s">
        <v>336</v>
      </c>
      <c r="AE15" s="349"/>
      <c r="AF15" s="349"/>
      <c r="AG15" s="349"/>
      <c r="AH15" s="350"/>
      <c r="AI15" s="348" t="s">
        <v>290</v>
      </c>
      <c r="AJ15" s="349"/>
      <c r="AK15" s="349"/>
      <c r="AL15" s="349"/>
      <c r="AM15" s="350"/>
      <c r="AN15" s="348" t="s">
        <v>321</v>
      </c>
      <c r="AO15" s="349"/>
      <c r="AP15" s="349"/>
      <c r="AQ15" s="349"/>
      <c r="AR15" s="350"/>
      <c r="AS15" s="348" t="s">
        <v>306</v>
      </c>
      <c r="AT15" s="349"/>
      <c r="AU15" s="349"/>
      <c r="AV15" s="349"/>
      <c r="AW15" s="350"/>
      <c r="AX15" s="348" t="s">
        <v>365</v>
      </c>
      <c r="AY15" s="349"/>
      <c r="AZ15" s="349"/>
      <c r="BA15" s="349"/>
      <c r="BB15" s="359"/>
      <c r="BC15" s="362"/>
      <c r="BD15" s="182"/>
      <c r="BE15" s="182"/>
      <c r="BF15" s="182"/>
      <c r="BG15" s="182"/>
      <c r="BH15" s="182"/>
      <c r="BI15" s="182"/>
      <c r="BJ15" s="182"/>
    </row>
    <row r="16" spans="2:63" ht="37.5" customHeight="1">
      <c r="B16" s="538" t="s">
        <v>265</v>
      </c>
      <c r="C16" s="539"/>
      <c r="D16" s="539"/>
      <c r="E16" s="348" t="s">
        <v>409</v>
      </c>
      <c r="F16" s="349"/>
      <c r="G16" s="349"/>
      <c r="H16" s="349"/>
      <c r="I16" s="359"/>
      <c r="J16" s="348" t="s">
        <v>409</v>
      </c>
      <c r="K16" s="349"/>
      <c r="L16" s="349"/>
      <c r="M16" s="349"/>
      <c r="N16" s="359"/>
      <c r="O16" s="348" t="s">
        <v>352</v>
      </c>
      <c r="P16" s="349"/>
      <c r="Q16" s="349"/>
      <c r="R16" s="349"/>
      <c r="S16" s="359"/>
      <c r="T16" s="348" t="s">
        <v>276</v>
      </c>
      <c r="U16" s="349"/>
      <c r="V16" s="349"/>
      <c r="W16" s="349"/>
      <c r="X16" s="350"/>
      <c r="Y16" s="348" t="s">
        <v>381</v>
      </c>
      <c r="Z16" s="349"/>
      <c r="AA16" s="349"/>
      <c r="AB16" s="349"/>
      <c r="AC16" s="350"/>
      <c r="AD16" s="348" t="s">
        <v>337</v>
      </c>
      <c r="AE16" s="349"/>
      <c r="AF16" s="349"/>
      <c r="AG16" s="349"/>
      <c r="AH16" s="350"/>
      <c r="AI16" s="348" t="s">
        <v>291</v>
      </c>
      <c r="AJ16" s="349"/>
      <c r="AK16" s="349"/>
      <c r="AL16" s="349"/>
      <c r="AM16" s="350"/>
      <c r="AN16" s="348" t="s">
        <v>322</v>
      </c>
      <c r="AO16" s="349"/>
      <c r="AP16" s="349"/>
      <c r="AQ16" s="349"/>
      <c r="AR16" s="350"/>
      <c r="AS16" s="348" t="s">
        <v>307</v>
      </c>
      <c r="AT16" s="349"/>
      <c r="AU16" s="349"/>
      <c r="AV16" s="349"/>
      <c r="AW16" s="350"/>
      <c r="AX16" s="348" t="s">
        <v>366</v>
      </c>
      <c r="AY16" s="349"/>
      <c r="AZ16" s="349"/>
      <c r="BA16" s="349"/>
      <c r="BB16" s="359"/>
      <c r="BC16" s="362"/>
      <c r="BD16" s="182"/>
      <c r="BE16" s="182"/>
      <c r="BF16" s="182"/>
      <c r="BG16" s="182"/>
      <c r="BH16" s="182"/>
      <c r="BI16" s="182"/>
      <c r="BJ16" s="182"/>
    </row>
    <row r="17" spans="2:66" ht="37.5" customHeight="1">
      <c r="B17" s="538" t="s">
        <v>266</v>
      </c>
      <c r="C17" s="539"/>
      <c r="D17" s="539"/>
      <c r="E17" s="348" t="s">
        <v>410</v>
      </c>
      <c r="F17" s="349"/>
      <c r="G17" s="349"/>
      <c r="H17" s="349"/>
      <c r="I17" s="359"/>
      <c r="J17" s="348" t="s">
        <v>410</v>
      </c>
      <c r="K17" s="349"/>
      <c r="L17" s="349"/>
      <c r="M17" s="349"/>
      <c r="N17" s="359"/>
      <c r="O17" s="348" t="s">
        <v>353</v>
      </c>
      <c r="P17" s="349"/>
      <c r="Q17" s="349"/>
      <c r="R17" s="349"/>
      <c r="S17" s="359"/>
      <c r="T17" s="348" t="s">
        <v>277</v>
      </c>
      <c r="U17" s="349"/>
      <c r="V17" s="349"/>
      <c r="W17" s="349"/>
      <c r="X17" s="350"/>
      <c r="Y17" s="348" t="s">
        <v>382</v>
      </c>
      <c r="Z17" s="349"/>
      <c r="AA17" s="349"/>
      <c r="AB17" s="349"/>
      <c r="AC17" s="350"/>
      <c r="AD17" s="348" t="s">
        <v>338</v>
      </c>
      <c r="AE17" s="349"/>
      <c r="AF17" s="349"/>
      <c r="AG17" s="349"/>
      <c r="AH17" s="350"/>
      <c r="AI17" s="348" t="s">
        <v>292</v>
      </c>
      <c r="AJ17" s="349"/>
      <c r="AK17" s="349"/>
      <c r="AL17" s="349"/>
      <c r="AM17" s="350"/>
      <c r="AN17" s="348" t="s">
        <v>323</v>
      </c>
      <c r="AO17" s="349"/>
      <c r="AP17" s="349"/>
      <c r="AQ17" s="349"/>
      <c r="AR17" s="350"/>
      <c r="AS17" s="348" t="s">
        <v>308</v>
      </c>
      <c r="AT17" s="349"/>
      <c r="AU17" s="349"/>
      <c r="AV17" s="349"/>
      <c r="AW17" s="350"/>
      <c r="AX17" s="348" t="s">
        <v>367</v>
      </c>
      <c r="AY17" s="349"/>
      <c r="AZ17" s="349"/>
      <c r="BA17" s="349"/>
      <c r="BB17" s="359"/>
      <c r="BC17" s="362"/>
      <c r="BD17" s="182"/>
      <c r="BE17" s="182"/>
      <c r="BF17" s="182"/>
      <c r="BG17" s="182"/>
      <c r="BH17" s="182"/>
      <c r="BI17" s="182"/>
      <c r="BJ17" s="182"/>
    </row>
    <row r="18" spans="2:66" ht="37.5" customHeight="1">
      <c r="B18" s="538" t="s">
        <v>255</v>
      </c>
      <c r="C18" s="539"/>
      <c r="D18" s="539"/>
      <c r="E18" s="348" t="s">
        <v>354</v>
      </c>
      <c r="F18" s="349"/>
      <c r="G18" s="349"/>
      <c r="H18" s="349"/>
      <c r="I18" s="359"/>
      <c r="J18" s="348" t="s">
        <v>354</v>
      </c>
      <c r="K18" s="349"/>
      <c r="L18" s="349"/>
      <c r="M18" s="349"/>
      <c r="N18" s="359"/>
      <c r="O18" s="348" t="s">
        <v>354</v>
      </c>
      <c r="P18" s="349"/>
      <c r="Q18" s="349"/>
      <c r="R18" s="349"/>
      <c r="S18" s="359"/>
      <c r="T18" s="348" t="s">
        <v>278</v>
      </c>
      <c r="U18" s="349"/>
      <c r="V18" s="349"/>
      <c r="W18" s="349"/>
      <c r="X18" s="350"/>
      <c r="Y18" s="348" t="s">
        <v>383</v>
      </c>
      <c r="Z18" s="349"/>
      <c r="AA18" s="349"/>
      <c r="AB18" s="349"/>
      <c r="AC18" s="350"/>
      <c r="AD18" s="348" t="s">
        <v>339</v>
      </c>
      <c r="AE18" s="349"/>
      <c r="AF18" s="349"/>
      <c r="AG18" s="349"/>
      <c r="AH18" s="350"/>
      <c r="AI18" s="348" t="s">
        <v>293</v>
      </c>
      <c r="AJ18" s="349"/>
      <c r="AK18" s="349"/>
      <c r="AL18" s="349"/>
      <c r="AM18" s="350"/>
      <c r="AN18" s="348" t="s">
        <v>324</v>
      </c>
      <c r="AO18" s="349"/>
      <c r="AP18" s="349"/>
      <c r="AQ18" s="349"/>
      <c r="AR18" s="350"/>
      <c r="AS18" s="348" t="s">
        <v>309</v>
      </c>
      <c r="AT18" s="349"/>
      <c r="AU18" s="349"/>
      <c r="AV18" s="349"/>
      <c r="AW18" s="350"/>
      <c r="AX18" s="348" t="s">
        <v>368</v>
      </c>
      <c r="AY18" s="349"/>
      <c r="AZ18" s="349"/>
      <c r="BA18" s="349"/>
      <c r="BB18" s="359"/>
      <c r="BC18" s="362"/>
      <c r="BD18" s="182"/>
      <c r="BE18" s="182"/>
      <c r="BF18" s="182"/>
      <c r="BG18" s="182"/>
      <c r="BH18" s="182"/>
      <c r="BI18" s="182"/>
      <c r="BJ18" s="182"/>
    </row>
    <row r="19" spans="2:66" ht="37.5" customHeight="1">
      <c r="B19" s="538" t="s">
        <v>256</v>
      </c>
      <c r="C19" s="539"/>
      <c r="D19" s="539"/>
      <c r="E19" s="348" t="s">
        <v>355</v>
      </c>
      <c r="F19" s="349"/>
      <c r="G19" s="349"/>
      <c r="H19" s="349"/>
      <c r="I19" s="359"/>
      <c r="J19" s="348" t="s">
        <v>355</v>
      </c>
      <c r="K19" s="349"/>
      <c r="L19" s="349"/>
      <c r="M19" s="349"/>
      <c r="N19" s="359"/>
      <c r="O19" s="348" t="s">
        <v>355</v>
      </c>
      <c r="P19" s="349"/>
      <c r="Q19" s="349"/>
      <c r="R19" s="349"/>
      <c r="S19" s="359"/>
      <c r="T19" s="348" t="s">
        <v>279</v>
      </c>
      <c r="U19" s="349"/>
      <c r="V19" s="349"/>
      <c r="W19" s="349"/>
      <c r="X19" s="350"/>
      <c r="Y19" s="356" t="s">
        <v>384</v>
      </c>
      <c r="Z19" s="349"/>
      <c r="AA19" s="349"/>
      <c r="AB19" s="349"/>
      <c r="AC19" s="350"/>
      <c r="AD19" s="348" t="s">
        <v>340</v>
      </c>
      <c r="AE19" s="349"/>
      <c r="AF19" s="349"/>
      <c r="AG19" s="349"/>
      <c r="AH19" s="350"/>
      <c r="AI19" s="352" t="s">
        <v>294</v>
      </c>
      <c r="AJ19" s="349"/>
      <c r="AK19" s="349"/>
      <c r="AL19" s="349"/>
      <c r="AM19" s="350"/>
      <c r="AN19" s="348" t="s">
        <v>325</v>
      </c>
      <c r="AO19" s="349"/>
      <c r="AP19" s="349"/>
      <c r="AQ19" s="349"/>
      <c r="AR19" s="350"/>
      <c r="AS19" s="348" t="s">
        <v>310</v>
      </c>
      <c r="AT19" s="349"/>
      <c r="AU19" s="349"/>
      <c r="AV19" s="349"/>
      <c r="AW19" s="350"/>
      <c r="AX19" s="356" t="s">
        <v>369</v>
      </c>
      <c r="AY19" s="349"/>
      <c r="AZ19" s="349"/>
      <c r="BA19" s="349"/>
      <c r="BB19" s="359"/>
      <c r="BC19" s="362"/>
      <c r="BD19" s="182"/>
      <c r="BE19" s="182"/>
      <c r="BF19" s="182"/>
      <c r="BG19" s="182"/>
      <c r="BH19" s="182"/>
      <c r="BI19" s="182"/>
      <c r="BJ19" s="182"/>
    </row>
    <row r="20" spans="2:66" ht="37.5" customHeight="1">
      <c r="B20" s="538" t="s">
        <v>210</v>
      </c>
      <c r="C20" s="539"/>
      <c r="D20" s="539"/>
      <c r="E20" s="348" t="s">
        <v>356</v>
      </c>
      <c r="F20" s="349"/>
      <c r="G20" s="349"/>
      <c r="H20" s="349"/>
      <c r="I20" s="359"/>
      <c r="J20" s="348" t="s">
        <v>356</v>
      </c>
      <c r="K20" s="349"/>
      <c r="L20" s="349"/>
      <c r="M20" s="349"/>
      <c r="N20" s="359"/>
      <c r="O20" s="348" t="s">
        <v>356</v>
      </c>
      <c r="P20" s="349"/>
      <c r="Q20" s="349"/>
      <c r="R20" s="349"/>
      <c r="S20" s="359"/>
      <c r="T20" s="348" t="s">
        <v>280</v>
      </c>
      <c r="U20" s="349"/>
      <c r="V20" s="349"/>
      <c r="W20" s="349"/>
      <c r="X20" s="350"/>
      <c r="Y20" s="348" t="s">
        <v>385</v>
      </c>
      <c r="Z20" s="349"/>
      <c r="AA20" s="349"/>
      <c r="AB20" s="349"/>
      <c r="AC20" s="350"/>
      <c r="AD20" s="348" t="s">
        <v>341</v>
      </c>
      <c r="AE20" s="349"/>
      <c r="AF20" s="349"/>
      <c r="AG20" s="349"/>
      <c r="AH20" s="350"/>
      <c r="AI20" s="348" t="s">
        <v>295</v>
      </c>
      <c r="AJ20" s="349"/>
      <c r="AK20" s="349"/>
      <c r="AL20" s="349"/>
      <c r="AM20" s="350"/>
      <c r="AN20" s="348" t="s">
        <v>326</v>
      </c>
      <c r="AO20" s="349"/>
      <c r="AP20" s="349"/>
      <c r="AQ20" s="349"/>
      <c r="AR20" s="350"/>
      <c r="AS20" s="348" t="s">
        <v>311</v>
      </c>
      <c r="AT20" s="349"/>
      <c r="AU20" s="349"/>
      <c r="AV20" s="349"/>
      <c r="AW20" s="350"/>
      <c r="AX20" s="348" t="s">
        <v>370</v>
      </c>
      <c r="AY20" s="349"/>
      <c r="AZ20" s="349"/>
      <c r="BA20" s="349"/>
      <c r="BB20" s="359"/>
      <c r="BC20" s="362"/>
      <c r="BD20" s="182"/>
      <c r="BE20" s="182"/>
      <c r="BF20" s="182"/>
      <c r="BG20" s="182"/>
      <c r="BH20" s="182"/>
      <c r="BI20" s="182"/>
      <c r="BJ20" s="182"/>
    </row>
    <row r="21" spans="2:66" ht="37.5" customHeight="1">
      <c r="B21" s="538" t="s">
        <v>257</v>
      </c>
      <c r="C21" s="539"/>
      <c r="D21" s="539"/>
      <c r="E21" s="348" t="s">
        <v>357</v>
      </c>
      <c r="F21" s="349"/>
      <c r="G21" s="349"/>
      <c r="H21" s="349"/>
      <c r="I21" s="359"/>
      <c r="J21" s="348" t="s">
        <v>357</v>
      </c>
      <c r="K21" s="349"/>
      <c r="L21" s="349"/>
      <c r="M21" s="349"/>
      <c r="N21" s="359"/>
      <c r="O21" s="348" t="s">
        <v>357</v>
      </c>
      <c r="P21" s="349"/>
      <c r="Q21" s="349"/>
      <c r="R21" s="349"/>
      <c r="S21" s="359"/>
      <c r="T21" s="348" t="s">
        <v>281</v>
      </c>
      <c r="U21" s="349"/>
      <c r="V21" s="349"/>
      <c r="W21" s="349"/>
      <c r="X21" s="350"/>
      <c r="Y21" s="348" t="s">
        <v>386</v>
      </c>
      <c r="Z21" s="349"/>
      <c r="AA21" s="349"/>
      <c r="AB21" s="349"/>
      <c r="AC21" s="350"/>
      <c r="AD21" s="348" t="s">
        <v>342</v>
      </c>
      <c r="AE21" s="349"/>
      <c r="AF21" s="349"/>
      <c r="AG21" s="349"/>
      <c r="AH21" s="350"/>
      <c r="AI21" s="348" t="s">
        <v>296</v>
      </c>
      <c r="AJ21" s="349"/>
      <c r="AK21" s="349"/>
      <c r="AL21" s="349"/>
      <c r="AM21" s="350"/>
      <c r="AN21" s="348" t="s">
        <v>327</v>
      </c>
      <c r="AO21" s="349"/>
      <c r="AP21" s="349"/>
      <c r="AQ21" s="349"/>
      <c r="AR21" s="350"/>
      <c r="AS21" s="348" t="s">
        <v>312</v>
      </c>
      <c r="AT21" s="349"/>
      <c r="AU21" s="349"/>
      <c r="AV21" s="349"/>
      <c r="AW21" s="350"/>
      <c r="AX21" s="348" t="s">
        <v>371</v>
      </c>
      <c r="AY21" s="349"/>
      <c r="AZ21" s="349"/>
      <c r="BA21" s="349"/>
      <c r="BB21" s="359"/>
      <c r="BC21" s="362"/>
      <c r="BD21" s="182"/>
      <c r="BE21" s="182"/>
      <c r="BF21" s="182"/>
      <c r="BG21" s="182"/>
      <c r="BH21" s="182"/>
      <c r="BI21" s="182"/>
      <c r="BJ21" s="182"/>
    </row>
    <row r="22" spans="2:66" ht="37.5" customHeight="1" thickBot="1">
      <c r="B22" s="543" t="s">
        <v>258</v>
      </c>
      <c r="C22" s="544"/>
      <c r="D22" s="544"/>
      <c r="E22" s="353" t="s">
        <v>358</v>
      </c>
      <c r="F22" s="354"/>
      <c r="G22" s="354"/>
      <c r="H22" s="354"/>
      <c r="I22" s="360"/>
      <c r="J22" s="353" t="s">
        <v>358</v>
      </c>
      <c r="K22" s="354"/>
      <c r="L22" s="354"/>
      <c r="M22" s="354"/>
      <c r="N22" s="360"/>
      <c r="O22" s="353" t="s">
        <v>358</v>
      </c>
      <c r="P22" s="354"/>
      <c r="Q22" s="354"/>
      <c r="R22" s="354"/>
      <c r="S22" s="360"/>
      <c r="T22" s="353" t="s">
        <v>282</v>
      </c>
      <c r="U22" s="354"/>
      <c r="V22" s="354"/>
      <c r="W22" s="354"/>
      <c r="X22" s="355"/>
      <c r="Y22" s="353" t="s">
        <v>387</v>
      </c>
      <c r="Z22" s="354"/>
      <c r="AA22" s="354"/>
      <c r="AB22" s="354"/>
      <c r="AC22" s="355"/>
      <c r="AD22" s="353" t="s">
        <v>343</v>
      </c>
      <c r="AE22" s="354"/>
      <c r="AF22" s="354"/>
      <c r="AG22" s="354"/>
      <c r="AH22" s="355"/>
      <c r="AI22" s="353" t="s">
        <v>297</v>
      </c>
      <c r="AJ22" s="354"/>
      <c r="AK22" s="354"/>
      <c r="AL22" s="354"/>
      <c r="AM22" s="355"/>
      <c r="AN22" s="353" t="s">
        <v>328</v>
      </c>
      <c r="AO22" s="354"/>
      <c r="AP22" s="354"/>
      <c r="AQ22" s="354"/>
      <c r="AR22" s="355"/>
      <c r="AS22" s="353" t="s">
        <v>313</v>
      </c>
      <c r="AT22" s="354"/>
      <c r="AU22" s="354"/>
      <c r="AV22" s="354"/>
      <c r="AW22" s="355"/>
      <c r="AX22" s="353" t="s">
        <v>372</v>
      </c>
      <c r="AY22" s="354"/>
      <c r="AZ22" s="354"/>
      <c r="BA22" s="354"/>
      <c r="BB22" s="360"/>
      <c r="BC22" s="363"/>
      <c r="BD22" s="182"/>
      <c r="BE22" s="182"/>
      <c r="BF22" s="182"/>
      <c r="BG22" s="182"/>
      <c r="BH22" s="182"/>
      <c r="BI22" s="182"/>
      <c r="BJ22" s="182"/>
    </row>
    <row r="23" spans="2:66" ht="37.5" customHeight="1" thickBot="1">
      <c r="B23" s="543" t="s">
        <v>390</v>
      </c>
      <c r="C23" s="544"/>
      <c r="D23" s="544"/>
      <c r="E23" s="353" t="s">
        <v>391</v>
      </c>
      <c r="F23" s="354"/>
      <c r="G23" s="354"/>
      <c r="H23" s="354"/>
      <c r="I23" s="360"/>
      <c r="J23" s="353"/>
      <c r="K23" s="354"/>
      <c r="L23" s="354"/>
      <c r="M23" s="354"/>
      <c r="N23" s="360"/>
      <c r="O23" s="353" t="s">
        <v>391</v>
      </c>
      <c r="P23" s="354"/>
      <c r="Q23" s="354"/>
      <c r="R23" s="354"/>
      <c r="S23" s="355"/>
      <c r="T23" s="353" t="s">
        <v>391</v>
      </c>
      <c r="U23" s="354"/>
      <c r="V23" s="354"/>
      <c r="W23" s="354"/>
      <c r="X23" s="355"/>
      <c r="Y23" s="353"/>
      <c r="Z23" s="354"/>
      <c r="AA23" s="354"/>
      <c r="AB23" s="354"/>
      <c r="AC23" s="355"/>
      <c r="AD23" s="353"/>
      <c r="AE23" s="354"/>
      <c r="AF23" s="354"/>
      <c r="AG23" s="354"/>
      <c r="AH23" s="355"/>
      <c r="AI23" s="353"/>
      <c r="AJ23" s="354"/>
      <c r="AK23" s="354"/>
      <c r="AL23" s="354"/>
      <c r="AM23" s="355"/>
      <c r="AN23" s="353"/>
      <c r="AO23" s="354"/>
      <c r="AP23" s="354"/>
      <c r="AQ23" s="354"/>
      <c r="AR23" s="355"/>
      <c r="AS23" s="353"/>
      <c r="AT23" s="354"/>
      <c r="AU23" s="354"/>
      <c r="AV23" s="354"/>
      <c r="AW23" s="355"/>
      <c r="AX23" s="353"/>
      <c r="AY23" s="354"/>
      <c r="AZ23" s="354"/>
      <c r="BA23" s="354"/>
      <c r="BB23" s="360"/>
      <c r="BC23" s="363"/>
      <c r="BD23" s="182"/>
      <c r="BE23" s="182"/>
      <c r="BF23" s="182"/>
      <c r="BG23" s="182"/>
      <c r="BH23" s="182"/>
      <c r="BI23" s="182"/>
      <c r="BJ23" s="182"/>
    </row>
    <row r="24" spans="2:66" s="188" customFormat="1" ht="17.100000000000001" customHeight="1" thickBot="1">
      <c r="B24" s="316" t="s">
        <v>38</v>
      </c>
      <c r="C24" s="343" t="s">
        <v>37</v>
      </c>
      <c r="D24" s="344" t="s">
        <v>36</v>
      </c>
      <c r="E24" s="299" t="s">
        <v>393</v>
      </c>
      <c r="F24" s="299" t="s">
        <v>125</v>
      </c>
      <c r="G24" s="299" t="s">
        <v>298</v>
      </c>
      <c r="H24" s="299" t="s">
        <v>126</v>
      </c>
      <c r="I24" s="300" t="s">
        <v>127</v>
      </c>
      <c r="J24" s="299" t="s">
        <v>412</v>
      </c>
      <c r="K24" s="299" t="s">
        <v>125</v>
      </c>
      <c r="L24" s="299" t="s">
        <v>298</v>
      </c>
      <c r="M24" s="299" t="s">
        <v>126</v>
      </c>
      <c r="N24" s="300" t="s">
        <v>127</v>
      </c>
      <c r="O24" s="299" t="s">
        <v>393</v>
      </c>
      <c r="P24" s="299" t="s">
        <v>125</v>
      </c>
      <c r="Q24" s="299" t="s">
        <v>298</v>
      </c>
      <c r="R24" s="299" t="s">
        <v>126</v>
      </c>
      <c r="S24" s="300" t="s">
        <v>127</v>
      </c>
      <c r="T24" s="299" t="s">
        <v>394</v>
      </c>
      <c r="U24" s="299" t="s">
        <v>125</v>
      </c>
      <c r="V24" s="299" t="s">
        <v>298</v>
      </c>
      <c r="W24" s="299" t="s">
        <v>126</v>
      </c>
      <c r="X24" s="300" t="s">
        <v>127</v>
      </c>
      <c r="Y24" s="299" t="s">
        <v>395</v>
      </c>
      <c r="Z24" s="299" t="s">
        <v>125</v>
      </c>
      <c r="AA24" s="299" t="s">
        <v>298</v>
      </c>
      <c r="AB24" s="299" t="s">
        <v>126</v>
      </c>
      <c r="AC24" s="300" t="s">
        <v>127</v>
      </c>
      <c r="AD24" s="299" t="s">
        <v>396</v>
      </c>
      <c r="AE24" s="299" t="s">
        <v>125</v>
      </c>
      <c r="AF24" s="299" t="s">
        <v>298</v>
      </c>
      <c r="AG24" s="299" t="s">
        <v>126</v>
      </c>
      <c r="AH24" s="300" t="s">
        <v>127</v>
      </c>
      <c r="AI24" s="299" t="s">
        <v>397</v>
      </c>
      <c r="AJ24" s="299" t="s">
        <v>125</v>
      </c>
      <c r="AK24" s="299" t="s">
        <v>298</v>
      </c>
      <c r="AL24" s="299" t="s">
        <v>126</v>
      </c>
      <c r="AM24" s="300" t="s">
        <v>127</v>
      </c>
      <c r="AN24" s="299" t="s">
        <v>398</v>
      </c>
      <c r="AO24" s="299" t="s">
        <v>125</v>
      </c>
      <c r="AP24" s="299" t="s">
        <v>298</v>
      </c>
      <c r="AQ24" s="299" t="s">
        <v>126</v>
      </c>
      <c r="AR24" s="300" t="s">
        <v>127</v>
      </c>
      <c r="AS24" s="299" t="s">
        <v>399</v>
      </c>
      <c r="AT24" s="299" t="s">
        <v>125</v>
      </c>
      <c r="AU24" s="299" t="s">
        <v>298</v>
      </c>
      <c r="AV24" s="299" t="s">
        <v>126</v>
      </c>
      <c r="AW24" s="300" t="s">
        <v>127</v>
      </c>
      <c r="AX24" s="299" t="s">
        <v>400</v>
      </c>
      <c r="AY24" s="299" t="s">
        <v>125</v>
      </c>
      <c r="AZ24" s="299" t="s">
        <v>126</v>
      </c>
      <c r="BA24" s="299" t="s">
        <v>126</v>
      </c>
      <c r="BB24" s="299" t="s">
        <v>127</v>
      </c>
      <c r="BC24" s="357"/>
      <c r="BD24" s="189"/>
      <c r="BE24" s="189"/>
      <c r="BF24" s="189"/>
      <c r="BG24" s="189"/>
      <c r="BH24" s="189"/>
      <c r="BI24" s="189"/>
      <c r="BJ24" s="189"/>
      <c r="BK24" s="190"/>
    </row>
    <row r="25" spans="2:66" ht="17.100000000000001" customHeight="1" thickTop="1">
      <c r="B25" s="303" t="s">
        <v>128</v>
      </c>
      <c r="C25" s="191" t="s">
        <v>129</v>
      </c>
      <c r="D25" s="192" t="s">
        <v>130</v>
      </c>
      <c r="E25" s="365">
        <f t="shared" ref="E25:G26" si="0">Y25/Y$79</f>
        <v>2.129876E-2</v>
      </c>
      <c r="F25" s="365">
        <f t="shared" si="0"/>
        <v>2.3703741625303271E-2</v>
      </c>
      <c r="G25" s="365">
        <f t="shared" si="0"/>
        <v>0</v>
      </c>
      <c r="H25" s="365"/>
      <c r="I25" s="365">
        <f t="shared" ref="I25" si="1">AC25/AC$79</f>
        <v>0</v>
      </c>
      <c r="J25" s="327">
        <f>E25*$J$79</f>
        <v>4264324.7888254598</v>
      </c>
      <c r="K25" s="327">
        <v>4264324.7888254598</v>
      </c>
      <c r="L25" s="327"/>
      <c r="M25" s="327"/>
      <c r="N25" s="328"/>
      <c r="O25" s="327">
        <f t="shared" ref="O25:O37" si="2">P25+Q25+R25+S25</f>
        <v>2453549</v>
      </c>
      <c r="P25" s="327">
        <v>2453549</v>
      </c>
      <c r="Q25" s="327"/>
      <c r="R25" s="327"/>
      <c r="S25" s="328"/>
      <c r="T25" s="327">
        <f>U25+V25+W25+X25</f>
        <v>3604000</v>
      </c>
      <c r="U25" s="193">
        <v>3604000</v>
      </c>
      <c r="V25" s="193"/>
      <c r="W25" s="193"/>
      <c r="X25" s="194"/>
      <c r="Y25" s="327">
        <f>Z25+AA25+AB25+AC25</f>
        <v>1754291.9622591997</v>
      </c>
      <c r="Z25" s="327">
        <v>1754291.9622591997</v>
      </c>
      <c r="AA25" s="327">
        <v>0</v>
      </c>
      <c r="AB25" s="327"/>
      <c r="AC25" s="328"/>
      <c r="AD25" s="327">
        <f>AE25+AF25+AG25+AH25</f>
        <v>6521026</v>
      </c>
      <c r="AE25" s="327">
        <v>6521026</v>
      </c>
      <c r="AF25" s="327"/>
      <c r="AG25" s="327"/>
      <c r="AH25" s="328"/>
      <c r="AI25" s="193">
        <v>5340025</v>
      </c>
      <c r="AJ25" s="193">
        <f>AI25-AL25-AM25</f>
        <v>5340025</v>
      </c>
      <c r="AK25" s="193"/>
      <c r="AL25" s="193"/>
      <c r="AM25" s="194"/>
      <c r="AN25" s="327">
        <f>AO25+AP25+AQ25+AR25</f>
        <v>5160363</v>
      </c>
      <c r="AO25" s="327">
        <v>5160363</v>
      </c>
      <c r="AP25" s="327"/>
      <c r="AQ25" s="327"/>
      <c r="AR25" s="328"/>
      <c r="AS25" s="327">
        <f>AT25+AU25+AV25+AW25</f>
        <v>2198108</v>
      </c>
      <c r="AT25" s="327">
        <v>2198108</v>
      </c>
      <c r="AU25" s="327">
        <v>0</v>
      </c>
      <c r="AV25" s="327">
        <v>0</v>
      </c>
      <c r="AW25" s="328">
        <v>0</v>
      </c>
      <c r="AX25" s="327">
        <f>AY25+AZ25+BA25+BB25</f>
        <v>28817547678.464306</v>
      </c>
      <c r="AY25" s="327">
        <v>28817547678.464306</v>
      </c>
      <c r="AZ25" s="327"/>
      <c r="BA25" s="327"/>
      <c r="BB25" s="328"/>
      <c r="BC25" s="328"/>
      <c r="BD25" s="182"/>
      <c r="BE25" s="182"/>
      <c r="BF25" s="182"/>
      <c r="BG25" s="182"/>
      <c r="BH25" s="182"/>
      <c r="BI25" s="182"/>
      <c r="BJ25" s="182"/>
      <c r="BK25" s="320">
        <f>BM25+BO25+BQ25</f>
        <v>3604000</v>
      </c>
      <c r="BL25" s="321"/>
      <c r="BM25" s="322">
        <v>3604000</v>
      </c>
      <c r="BN25" s="323"/>
    </row>
    <row r="26" spans="2:66" ht="17.100000000000001" customHeight="1">
      <c r="B26" s="304"/>
      <c r="C26" s="195" t="s">
        <v>131</v>
      </c>
      <c r="D26" s="192" t="s">
        <v>132</v>
      </c>
      <c r="E26" s="365">
        <f t="shared" si="0"/>
        <v>2.61324E-2</v>
      </c>
      <c r="F26" s="365">
        <f t="shared" si="0"/>
        <v>2.9083179379882921E-2</v>
      </c>
      <c r="G26" s="365">
        <f t="shared" si="0"/>
        <v>0</v>
      </c>
      <c r="H26" s="365"/>
      <c r="I26" s="370">
        <f t="shared" ref="I26" si="3">AC26/AC$79</f>
        <v>0</v>
      </c>
      <c r="J26" s="327">
        <f>E26*$J$79</f>
        <v>5232090.5588636352</v>
      </c>
      <c r="K26" s="327">
        <v>5232090.5588636352</v>
      </c>
      <c r="L26" s="327"/>
      <c r="M26" s="327"/>
      <c r="N26" s="328"/>
      <c r="O26" s="327">
        <f t="shared" si="2"/>
        <v>2259848</v>
      </c>
      <c r="P26" s="327">
        <v>2259848</v>
      </c>
      <c r="Q26" s="327"/>
      <c r="R26" s="327"/>
      <c r="S26" s="328"/>
      <c r="T26" s="327">
        <f>U26+V26+W26+X26</f>
        <v>1022000</v>
      </c>
      <c r="U26" s="193">
        <v>1022000</v>
      </c>
      <c r="V26" s="193"/>
      <c r="W26" s="193"/>
      <c r="X26" s="194"/>
      <c r="Y26" s="327">
        <f>Z26+AA26+AB26+AC26</f>
        <v>2152419.1678079995</v>
      </c>
      <c r="Z26" s="327">
        <v>2152419.1678079995</v>
      </c>
      <c r="AA26" s="327">
        <v>0</v>
      </c>
      <c r="AB26" s="327"/>
      <c r="AC26" s="328"/>
      <c r="AD26" s="327">
        <f>AE26+AF26+AG26+AH26</f>
        <v>1947839</v>
      </c>
      <c r="AE26" s="327">
        <v>1947839</v>
      </c>
      <c r="AF26" s="327"/>
      <c r="AG26" s="327"/>
      <c r="AH26" s="328"/>
      <c r="AI26" s="193">
        <v>2670012</v>
      </c>
      <c r="AJ26" s="193">
        <f>AI26-AL26-AM26</f>
        <v>2670012</v>
      </c>
      <c r="AK26" s="193"/>
      <c r="AL26" s="193"/>
      <c r="AM26" s="194"/>
      <c r="AN26" s="327">
        <f>AO26+AP26+AQ26+AR26</f>
        <v>1541407</v>
      </c>
      <c r="AO26" s="327">
        <v>1541407</v>
      </c>
      <c r="AP26" s="327"/>
      <c r="AQ26" s="327"/>
      <c r="AR26" s="328"/>
      <c r="AS26" s="327">
        <f>AT26+AU26+AV26+AW26</f>
        <v>259308</v>
      </c>
      <c r="AT26" s="327">
        <v>259308</v>
      </c>
      <c r="AU26" s="327">
        <v>0</v>
      </c>
      <c r="AV26" s="327">
        <v>0</v>
      </c>
      <c r="AW26" s="328">
        <v>0</v>
      </c>
      <c r="AX26" s="327">
        <f>AY26+AZ26+BA26+BB26</f>
        <v>7168001910.5710115</v>
      </c>
      <c r="AY26" s="327">
        <v>7168001910.5710115</v>
      </c>
      <c r="AZ26" s="327"/>
      <c r="BA26" s="327"/>
      <c r="BB26" s="328"/>
      <c r="BC26" s="328"/>
      <c r="BD26" s="182"/>
      <c r="BE26" s="182"/>
      <c r="BF26" s="182"/>
      <c r="BG26" s="182"/>
      <c r="BH26" s="182"/>
      <c r="BI26" s="182"/>
      <c r="BJ26" s="182"/>
      <c r="BK26" s="320">
        <f t="shared" ref="BK26:BK33" si="4">BM26+BO26+BQ26</f>
        <v>1022000</v>
      </c>
      <c r="BL26" s="321"/>
      <c r="BM26" s="320">
        <v>1022000</v>
      </c>
      <c r="BN26" s="321"/>
    </row>
    <row r="27" spans="2:66" ht="17.100000000000001" customHeight="1">
      <c r="B27" s="304"/>
      <c r="C27" s="195"/>
      <c r="D27" s="192" t="s">
        <v>133</v>
      </c>
      <c r="E27" s="365">
        <f t="shared" ref="E27:E78" si="5">Y27/Y$79</f>
        <v>0</v>
      </c>
      <c r="F27" s="365">
        <f t="shared" ref="F27:F37" si="6">Z27/Z$79</f>
        <v>0</v>
      </c>
      <c r="G27" s="365">
        <f t="shared" ref="G27:G37" si="7">AA27/AA$79</f>
        <v>0</v>
      </c>
      <c r="H27" s="365"/>
      <c r="I27" s="370">
        <f t="shared" ref="I27:I37" si="8">AC27/AC$79</f>
        <v>0</v>
      </c>
      <c r="J27" s="327">
        <f t="shared" ref="J27:J78" si="9">E27*$J$79</f>
        <v>0</v>
      </c>
      <c r="K27" s="327">
        <v>0</v>
      </c>
      <c r="L27" s="327"/>
      <c r="M27" s="327"/>
      <c r="N27" s="328"/>
      <c r="O27" s="327">
        <f t="shared" si="2"/>
        <v>0</v>
      </c>
      <c r="P27" s="327">
        <v>0</v>
      </c>
      <c r="Q27" s="327"/>
      <c r="R27" s="327"/>
      <c r="S27" s="328"/>
      <c r="T27" s="327">
        <f t="shared" ref="T27:T78" si="10">U27+V27+W27+X27</f>
        <v>0</v>
      </c>
      <c r="U27" s="193">
        <v>0</v>
      </c>
      <c r="V27" s="193"/>
      <c r="W27" s="193"/>
      <c r="X27" s="194"/>
      <c r="Y27" s="327">
        <f t="shared" ref="Y27:Y37" si="11">Z27+AA27+AB27+AC27</f>
        <v>0</v>
      </c>
      <c r="Z27" s="327">
        <v>0</v>
      </c>
      <c r="AA27" s="327">
        <v>0</v>
      </c>
      <c r="AB27" s="327"/>
      <c r="AC27" s="328"/>
      <c r="AD27" s="327">
        <f t="shared" ref="AD27:AD37" si="12">AE27+AF27+AG27+AH27</f>
        <v>0</v>
      </c>
      <c r="AE27" s="327">
        <v>0</v>
      </c>
      <c r="AF27" s="327"/>
      <c r="AG27" s="327"/>
      <c r="AH27" s="328"/>
      <c r="AI27" s="193">
        <v>0</v>
      </c>
      <c r="AJ27" s="193">
        <f t="shared" ref="AJ27:AJ37" si="13">AI27-AL27-AM27</f>
        <v>0</v>
      </c>
      <c r="AK27" s="193"/>
      <c r="AL27" s="193"/>
      <c r="AM27" s="194"/>
      <c r="AN27" s="327">
        <f t="shared" ref="AN27:AN78" si="14">AO27+AP27+AQ27+AR27</f>
        <v>0</v>
      </c>
      <c r="AO27" s="327">
        <v>0</v>
      </c>
      <c r="AP27" s="327"/>
      <c r="AQ27" s="327"/>
      <c r="AR27" s="328"/>
      <c r="AS27" s="327">
        <f t="shared" ref="AS27:AS78" si="15">AT27+AU27+AV27+AW27</f>
        <v>0</v>
      </c>
      <c r="AT27" s="327">
        <v>0</v>
      </c>
      <c r="AU27" s="327">
        <v>0</v>
      </c>
      <c r="AV27" s="327">
        <v>0</v>
      </c>
      <c r="AW27" s="328">
        <v>0</v>
      </c>
      <c r="AX27" s="327">
        <f t="shared" ref="AX27:AX37" si="16">AY27+AZ27+BA27+BB27</f>
        <v>0</v>
      </c>
      <c r="AY27" s="327">
        <v>0</v>
      </c>
      <c r="AZ27" s="327"/>
      <c r="BA27" s="327"/>
      <c r="BB27" s="328"/>
      <c r="BC27" s="328"/>
      <c r="BD27" s="182"/>
      <c r="BE27" s="182"/>
      <c r="BF27" s="182"/>
      <c r="BG27" s="182"/>
      <c r="BH27" s="182"/>
      <c r="BI27" s="182"/>
      <c r="BJ27" s="182"/>
      <c r="BK27" s="320">
        <f t="shared" si="4"/>
        <v>0</v>
      </c>
      <c r="BL27" s="321"/>
      <c r="BM27" s="320">
        <v>0</v>
      </c>
      <c r="BN27" s="321"/>
    </row>
    <row r="28" spans="2:66" ht="17.100000000000001" customHeight="1">
      <c r="B28" s="305"/>
      <c r="C28" s="196"/>
      <c r="D28" s="192" t="s">
        <v>134</v>
      </c>
      <c r="E28" s="365">
        <f t="shared" si="5"/>
        <v>1.0248E-2</v>
      </c>
      <c r="F28" s="365">
        <f t="shared" si="6"/>
        <v>1.1405168384267812E-2</v>
      </c>
      <c r="G28" s="365">
        <f t="shared" si="7"/>
        <v>0</v>
      </c>
      <c r="H28" s="365"/>
      <c r="I28" s="370">
        <f t="shared" si="8"/>
        <v>0</v>
      </c>
      <c r="J28" s="327">
        <f t="shared" si="9"/>
        <v>2051800.2191622099</v>
      </c>
      <c r="K28" s="327">
        <v>2051800.2191622099</v>
      </c>
      <c r="L28" s="327"/>
      <c r="M28" s="327"/>
      <c r="N28" s="328"/>
      <c r="O28" s="327">
        <f t="shared" si="2"/>
        <v>0</v>
      </c>
      <c r="P28" s="327">
        <v>0</v>
      </c>
      <c r="Q28" s="327"/>
      <c r="R28" s="327"/>
      <c r="S28" s="328"/>
      <c r="T28" s="327">
        <f t="shared" si="10"/>
        <v>0</v>
      </c>
      <c r="U28" s="193">
        <v>0</v>
      </c>
      <c r="V28" s="193"/>
      <c r="W28" s="193"/>
      <c r="X28" s="194"/>
      <c r="Y28" s="327">
        <f t="shared" si="11"/>
        <v>844085.9481599998</v>
      </c>
      <c r="Z28" s="327">
        <v>844085.9481599998</v>
      </c>
      <c r="AA28" s="327">
        <v>0</v>
      </c>
      <c r="AB28" s="327"/>
      <c r="AC28" s="328"/>
      <c r="AD28" s="327">
        <f t="shared" si="12"/>
        <v>671475</v>
      </c>
      <c r="AE28" s="327">
        <v>671475</v>
      </c>
      <c r="AF28" s="327"/>
      <c r="AG28" s="327"/>
      <c r="AH28" s="328"/>
      <c r="AI28" s="193">
        <v>1879907</v>
      </c>
      <c r="AJ28" s="193">
        <f t="shared" si="13"/>
        <v>1879907</v>
      </c>
      <c r="AK28" s="193"/>
      <c r="AL28" s="193"/>
      <c r="AM28" s="194"/>
      <c r="AN28" s="327">
        <f t="shared" si="14"/>
        <v>531366</v>
      </c>
      <c r="AO28" s="327">
        <v>531366</v>
      </c>
      <c r="AP28" s="327"/>
      <c r="AQ28" s="327"/>
      <c r="AR28" s="328"/>
      <c r="AS28" s="327">
        <f t="shared" si="15"/>
        <v>178200</v>
      </c>
      <c r="AT28" s="327">
        <v>178200</v>
      </c>
      <c r="AU28" s="327">
        <v>0</v>
      </c>
      <c r="AV28" s="327">
        <v>0</v>
      </c>
      <c r="AW28" s="328">
        <v>0</v>
      </c>
      <c r="AX28" s="327">
        <f t="shared" si="16"/>
        <v>273628157.04311061</v>
      </c>
      <c r="AY28" s="327">
        <v>273628157.04311061</v>
      </c>
      <c r="AZ28" s="327"/>
      <c r="BA28" s="327"/>
      <c r="BB28" s="328"/>
      <c r="BC28" s="328"/>
      <c r="BD28" s="182"/>
      <c r="BE28" s="182"/>
      <c r="BF28" s="182"/>
      <c r="BG28" s="182"/>
      <c r="BH28" s="182"/>
      <c r="BI28" s="182"/>
      <c r="BJ28" s="182"/>
      <c r="BK28" s="320">
        <f t="shared" si="4"/>
        <v>0</v>
      </c>
      <c r="BL28" s="321"/>
      <c r="BM28" s="320">
        <v>0</v>
      </c>
      <c r="BN28" s="321"/>
    </row>
    <row r="29" spans="2:66" ht="17.100000000000001" customHeight="1">
      <c r="B29" s="305"/>
      <c r="C29" s="196"/>
      <c r="D29" s="192" t="s">
        <v>135</v>
      </c>
      <c r="E29" s="365">
        <f t="shared" si="5"/>
        <v>0</v>
      </c>
      <c r="F29" s="365">
        <f t="shared" si="6"/>
        <v>0</v>
      </c>
      <c r="G29" s="365">
        <f t="shared" si="7"/>
        <v>0</v>
      </c>
      <c r="H29" s="365"/>
      <c r="I29" s="370">
        <f t="shared" si="8"/>
        <v>0</v>
      </c>
      <c r="J29" s="327">
        <f t="shared" si="9"/>
        <v>0</v>
      </c>
      <c r="K29" s="327">
        <v>0</v>
      </c>
      <c r="L29" s="327"/>
      <c r="M29" s="327"/>
      <c r="N29" s="328"/>
      <c r="O29" s="327">
        <f t="shared" si="2"/>
        <v>0</v>
      </c>
      <c r="P29" s="327">
        <v>0</v>
      </c>
      <c r="Q29" s="327"/>
      <c r="R29" s="327"/>
      <c r="S29" s="328"/>
      <c r="T29" s="327">
        <f t="shared" si="10"/>
        <v>59000</v>
      </c>
      <c r="U29" s="193">
        <v>59000</v>
      </c>
      <c r="V29" s="193"/>
      <c r="W29" s="193"/>
      <c r="X29" s="194"/>
      <c r="Y29" s="327">
        <f t="shared" si="11"/>
        <v>0</v>
      </c>
      <c r="Z29" s="327">
        <v>0</v>
      </c>
      <c r="AA29" s="327">
        <v>0</v>
      </c>
      <c r="AB29" s="327"/>
      <c r="AC29" s="328"/>
      <c r="AD29" s="327">
        <f t="shared" si="12"/>
        <v>0</v>
      </c>
      <c r="AE29" s="327">
        <v>0</v>
      </c>
      <c r="AF29" s="327"/>
      <c r="AG29" s="327"/>
      <c r="AH29" s="328"/>
      <c r="AI29" s="193">
        <v>0</v>
      </c>
      <c r="AJ29" s="193">
        <f t="shared" si="13"/>
        <v>0</v>
      </c>
      <c r="AK29" s="193"/>
      <c r="AL29" s="193"/>
      <c r="AM29" s="194"/>
      <c r="AN29" s="327">
        <f t="shared" si="14"/>
        <v>0</v>
      </c>
      <c r="AO29" s="327">
        <v>0</v>
      </c>
      <c r="AP29" s="327"/>
      <c r="AQ29" s="327"/>
      <c r="AR29" s="328"/>
      <c r="AS29" s="327">
        <f t="shared" si="15"/>
        <v>0</v>
      </c>
      <c r="AT29" s="327">
        <v>0</v>
      </c>
      <c r="AU29" s="327">
        <v>0</v>
      </c>
      <c r="AV29" s="327">
        <v>0</v>
      </c>
      <c r="AW29" s="328">
        <v>0</v>
      </c>
      <c r="AX29" s="327">
        <f t="shared" si="16"/>
        <v>0</v>
      </c>
      <c r="AY29" s="327">
        <v>0</v>
      </c>
      <c r="AZ29" s="327"/>
      <c r="BA29" s="327"/>
      <c r="BB29" s="328"/>
      <c r="BC29" s="328"/>
      <c r="BD29" s="182"/>
      <c r="BE29" s="182"/>
      <c r="BF29" s="182"/>
      <c r="BG29" s="182"/>
      <c r="BH29" s="182"/>
      <c r="BI29" s="182"/>
      <c r="BJ29" s="182"/>
      <c r="BK29" s="320">
        <f t="shared" si="4"/>
        <v>59000</v>
      </c>
      <c r="BL29" s="321"/>
      <c r="BM29" s="320">
        <v>59000</v>
      </c>
      <c r="BN29" s="321"/>
    </row>
    <row r="30" spans="2:66" ht="17.100000000000001" customHeight="1">
      <c r="B30" s="305"/>
      <c r="C30" s="196"/>
      <c r="D30" s="192" t="s">
        <v>136</v>
      </c>
      <c r="E30" s="365">
        <f t="shared" si="5"/>
        <v>3.5867999999999998E-3</v>
      </c>
      <c r="F30" s="365">
        <f t="shared" si="6"/>
        <v>3.9918089344937345E-3</v>
      </c>
      <c r="G30" s="365">
        <f t="shared" si="7"/>
        <v>0</v>
      </c>
      <c r="H30" s="365"/>
      <c r="I30" s="370">
        <f t="shared" si="8"/>
        <v>0</v>
      </c>
      <c r="J30" s="327">
        <f t="shared" si="9"/>
        <v>718130.07670677337</v>
      </c>
      <c r="K30" s="327">
        <v>718130.07670677337</v>
      </c>
      <c r="L30" s="327"/>
      <c r="M30" s="327"/>
      <c r="N30" s="328"/>
      <c r="O30" s="327">
        <f t="shared" si="2"/>
        <v>1129924</v>
      </c>
      <c r="P30" s="327">
        <v>1129924</v>
      </c>
      <c r="Q30" s="327"/>
      <c r="R30" s="327"/>
      <c r="S30" s="328"/>
      <c r="T30" s="327">
        <f t="shared" si="10"/>
        <v>532000</v>
      </c>
      <c r="U30" s="193">
        <v>532000</v>
      </c>
      <c r="V30" s="193"/>
      <c r="W30" s="193"/>
      <c r="X30" s="194"/>
      <c r="Y30" s="327">
        <f t="shared" si="11"/>
        <v>295430.08185599995</v>
      </c>
      <c r="Z30" s="327">
        <v>295430.08185599995</v>
      </c>
      <c r="AA30" s="327">
        <v>0</v>
      </c>
      <c r="AB30" s="327"/>
      <c r="AC30" s="328"/>
      <c r="AD30" s="327">
        <f t="shared" si="12"/>
        <v>1063168</v>
      </c>
      <c r="AE30" s="327">
        <v>1063168</v>
      </c>
      <c r="AF30" s="327"/>
      <c r="AG30" s="327"/>
      <c r="AH30" s="328"/>
      <c r="AI30" s="193">
        <v>3487363</v>
      </c>
      <c r="AJ30" s="193">
        <f>AI30-AL30-AM30</f>
        <v>3487363</v>
      </c>
      <c r="AK30" s="193"/>
      <c r="AL30" s="193"/>
      <c r="AM30" s="194"/>
      <c r="AN30" s="327">
        <f t="shared" si="14"/>
        <v>841329</v>
      </c>
      <c r="AO30" s="327">
        <v>841329</v>
      </c>
      <c r="AP30" s="327"/>
      <c r="AQ30" s="327"/>
      <c r="AR30" s="328"/>
      <c r="AS30" s="327">
        <f t="shared" si="15"/>
        <v>1210322</v>
      </c>
      <c r="AT30" s="327">
        <v>1210322</v>
      </c>
      <c r="AU30" s="327">
        <v>0</v>
      </c>
      <c r="AV30" s="327">
        <v>0</v>
      </c>
      <c r="AW30" s="328">
        <v>0</v>
      </c>
      <c r="AX30" s="327">
        <f t="shared" si="16"/>
        <v>2189025256.3448849</v>
      </c>
      <c r="AY30" s="327">
        <v>2189025256.3448849</v>
      </c>
      <c r="AZ30" s="327"/>
      <c r="BA30" s="327"/>
      <c r="BB30" s="328"/>
      <c r="BC30" s="328"/>
      <c r="BD30" s="182"/>
      <c r="BE30" s="182"/>
      <c r="BF30" s="182"/>
      <c r="BG30" s="182"/>
      <c r="BH30" s="182"/>
      <c r="BI30" s="182"/>
      <c r="BJ30" s="182"/>
      <c r="BK30" s="320">
        <f t="shared" si="4"/>
        <v>532000</v>
      </c>
      <c r="BL30" s="321"/>
      <c r="BM30" s="320">
        <v>532000</v>
      </c>
      <c r="BN30" s="321"/>
    </row>
    <row r="31" spans="2:66" ht="17.100000000000001" customHeight="1">
      <c r="B31" s="305"/>
      <c r="C31" s="196"/>
      <c r="D31" s="192" t="s">
        <v>137</v>
      </c>
      <c r="E31" s="365">
        <f t="shared" si="5"/>
        <v>0</v>
      </c>
      <c r="F31" s="365">
        <f t="shared" si="6"/>
        <v>0</v>
      </c>
      <c r="G31" s="365">
        <f t="shared" si="7"/>
        <v>0</v>
      </c>
      <c r="H31" s="365"/>
      <c r="I31" s="370">
        <f t="shared" si="8"/>
        <v>0</v>
      </c>
      <c r="J31" s="327">
        <f t="shared" si="9"/>
        <v>0</v>
      </c>
      <c r="K31" s="327">
        <v>0</v>
      </c>
      <c r="L31" s="327"/>
      <c r="M31" s="327"/>
      <c r="N31" s="328"/>
      <c r="O31" s="327">
        <f t="shared" si="2"/>
        <v>0</v>
      </c>
      <c r="P31" s="327">
        <v>0</v>
      </c>
      <c r="Q31" s="327"/>
      <c r="R31" s="327"/>
      <c r="S31" s="328"/>
      <c r="T31" s="327">
        <f t="shared" si="10"/>
        <v>0</v>
      </c>
      <c r="U31" s="193">
        <v>0</v>
      </c>
      <c r="V31" s="193"/>
      <c r="W31" s="193"/>
      <c r="X31" s="194"/>
      <c r="Y31" s="327">
        <f t="shared" si="11"/>
        <v>0</v>
      </c>
      <c r="Z31" s="327">
        <v>0</v>
      </c>
      <c r="AA31" s="327">
        <v>0</v>
      </c>
      <c r="AB31" s="327"/>
      <c r="AC31" s="328"/>
      <c r="AD31" s="327">
        <f t="shared" si="12"/>
        <v>0</v>
      </c>
      <c r="AE31" s="327">
        <v>0</v>
      </c>
      <c r="AF31" s="327"/>
      <c r="AG31" s="327"/>
      <c r="AH31" s="328"/>
      <c r="AI31" s="193">
        <v>0</v>
      </c>
      <c r="AJ31" s="193">
        <f t="shared" si="13"/>
        <v>0</v>
      </c>
      <c r="AK31" s="193"/>
      <c r="AL31" s="193"/>
      <c r="AM31" s="194"/>
      <c r="AN31" s="327">
        <f t="shared" si="14"/>
        <v>0</v>
      </c>
      <c r="AO31" s="327">
        <v>0</v>
      </c>
      <c r="AP31" s="327"/>
      <c r="AQ31" s="327"/>
      <c r="AR31" s="328"/>
      <c r="AS31" s="327">
        <f t="shared" si="15"/>
        <v>0</v>
      </c>
      <c r="AT31" s="327">
        <v>0</v>
      </c>
      <c r="AU31" s="327">
        <v>0</v>
      </c>
      <c r="AV31" s="327">
        <v>0</v>
      </c>
      <c r="AW31" s="328">
        <v>0</v>
      </c>
      <c r="AX31" s="327">
        <f t="shared" si="16"/>
        <v>0</v>
      </c>
      <c r="AY31" s="327">
        <v>0</v>
      </c>
      <c r="AZ31" s="327"/>
      <c r="BA31" s="327"/>
      <c r="BB31" s="328"/>
      <c r="BC31" s="328"/>
      <c r="BD31" s="182"/>
      <c r="BE31" s="182"/>
      <c r="BF31" s="182"/>
      <c r="BG31" s="182"/>
      <c r="BH31" s="182"/>
      <c r="BI31" s="182"/>
      <c r="BJ31" s="182"/>
      <c r="BK31" s="320">
        <f t="shared" si="4"/>
        <v>0</v>
      </c>
      <c r="BL31" s="321"/>
      <c r="BM31" s="320">
        <v>0</v>
      </c>
      <c r="BN31" s="321"/>
    </row>
    <row r="32" spans="2:66" ht="17.100000000000001" customHeight="1">
      <c r="B32" s="305"/>
      <c r="C32" s="196"/>
      <c r="D32" s="192" t="s">
        <v>138</v>
      </c>
      <c r="E32" s="365">
        <f t="shared" si="5"/>
        <v>1.8788E-4</v>
      </c>
      <c r="F32" s="365">
        <f t="shared" si="6"/>
        <v>2.0909475371157658E-4</v>
      </c>
      <c r="G32" s="365">
        <f t="shared" si="7"/>
        <v>0</v>
      </c>
      <c r="H32" s="365"/>
      <c r="I32" s="370">
        <f t="shared" si="8"/>
        <v>0</v>
      </c>
      <c r="J32" s="327">
        <f t="shared" si="9"/>
        <v>37616.337351307178</v>
      </c>
      <c r="K32" s="327">
        <v>37616.337351307178</v>
      </c>
      <c r="L32" s="327"/>
      <c r="M32" s="327"/>
      <c r="N32" s="328"/>
      <c r="O32" s="327">
        <f t="shared" si="2"/>
        <v>0</v>
      </c>
      <c r="P32" s="327">
        <v>0</v>
      </c>
      <c r="Q32" s="327"/>
      <c r="R32" s="327"/>
      <c r="S32" s="328"/>
      <c r="T32" s="327">
        <f t="shared" si="10"/>
        <v>69000</v>
      </c>
      <c r="U32" s="193">
        <v>69000</v>
      </c>
      <c r="V32" s="193"/>
      <c r="W32" s="193"/>
      <c r="X32" s="194"/>
      <c r="Y32" s="327">
        <f t="shared" si="11"/>
        <v>15474.909049599997</v>
      </c>
      <c r="Z32" s="327">
        <v>15474.909049599997</v>
      </c>
      <c r="AA32" s="327">
        <v>0</v>
      </c>
      <c r="AB32" s="327"/>
      <c r="AC32" s="328"/>
      <c r="AD32" s="327">
        <f t="shared" si="12"/>
        <v>0</v>
      </c>
      <c r="AE32" s="327">
        <v>0</v>
      </c>
      <c r="AF32" s="327"/>
      <c r="AG32" s="327"/>
      <c r="AH32" s="328"/>
      <c r="AI32" s="193">
        <v>0</v>
      </c>
      <c r="AJ32" s="193">
        <f t="shared" si="13"/>
        <v>0</v>
      </c>
      <c r="AK32" s="193"/>
      <c r="AL32" s="193"/>
      <c r="AM32" s="194"/>
      <c r="AN32" s="327">
        <f t="shared" si="14"/>
        <v>0</v>
      </c>
      <c r="AO32" s="327">
        <v>0</v>
      </c>
      <c r="AP32" s="327"/>
      <c r="AQ32" s="327"/>
      <c r="AR32" s="328"/>
      <c r="AS32" s="327">
        <f t="shared" si="15"/>
        <v>0</v>
      </c>
      <c r="AT32" s="327">
        <v>0</v>
      </c>
      <c r="AU32" s="327">
        <v>0</v>
      </c>
      <c r="AV32" s="327">
        <v>0</v>
      </c>
      <c r="AW32" s="328">
        <v>0</v>
      </c>
      <c r="AX32" s="327">
        <f t="shared" si="16"/>
        <v>0</v>
      </c>
      <c r="AY32" s="327">
        <v>0</v>
      </c>
      <c r="AZ32" s="327"/>
      <c r="BA32" s="327"/>
      <c r="BB32" s="328"/>
      <c r="BC32" s="328"/>
      <c r="BD32" s="182"/>
      <c r="BE32" s="182"/>
      <c r="BF32" s="182"/>
      <c r="BG32" s="182"/>
      <c r="BH32" s="182"/>
      <c r="BI32" s="182"/>
      <c r="BJ32" s="182"/>
      <c r="BK32" s="320">
        <f t="shared" si="4"/>
        <v>69000</v>
      </c>
      <c r="BL32" s="321"/>
      <c r="BM32" s="320">
        <v>69000</v>
      </c>
      <c r="BN32" s="321"/>
    </row>
    <row r="33" spans="1:66" ht="17.100000000000001" customHeight="1">
      <c r="B33" s="305"/>
      <c r="C33" s="196"/>
      <c r="D33" s="192" t="s">
        <v>139</v>
      </c>
      <c r="E33" s="365">
        <f t="shared" si="5"/>
        <v>6.481859999999999E-3</v>
      </c>
      <c r="F33" s="365">
        <f t="shared" si="6"/>
        <v>7.2137690030493907E-3</v>
      </c>
      <c r="G33" s="365">
        <f t="shared" si="7"/>
        <v>0</v>
      </c>
      <c r="H33" s="365"/>
      <c r="I33" s="370">
        <f t="shared" si="8"/>
        <v>0</v>
      </c>
      <c r="J33" s="327">
        <f t="shared" si="9"/>
        <v>1297763.6386200974</v>
      </c>
      <c r="K33" s="327">
        <v>1297763.6386200974</v>
      </c>
      <c r="L33" s="327"/>
      <c r="M33" s="327"/>
      <c r="N33" s="328"/>
      <c r="O33" s="327">
        <f t="shared" si="2"/>
        <v>1129924</v>
      </c>
      <c r="P33" s="327">
        <v>1129924</v>
      </c>
      <c r="Q33" s="327"/>
      <c r="R33" s="327"/>
      <c r="S33" s="328"/>
      <c r="T33" s="327">
        <f t="shared" si="10"/>
        <v>510000</v>
      </c>
      <c r="U33" s="193">
        <v>510000</v>
      </c>
      <c r="V33" s="193"/>
      <c r="W33" s="193"/>
      <c r="X33" s="194"/>
      <c r="Y33" s="327">
        <f t="shared" si="11"/>
        <v>533884.36221119983</v>
      </c>
      <c r="Z33" s="327">
        <v>533884.36221119983</v>
      </c>
      <c r="AA33" s="327">
        <v>0</v>
      </c>
      <c r="AB33" s="327"/>
      <c r="AC33" s="328"/>
      <c r="AD33" s="327">
        <f t="shared" si="12"/>
        <v>1063168</v>
      </c>
      <c r="AE33" s="327">
        <v>1063168</v>
      </c>
      <c r="AF33" s="327"/>
      <c r="AG33" s="327"/>
      <c r="AH33" s="328"/>
      <c r="AI33" s="193">
        <v>2942463</v>
      </c>
      <c r="AJ33" s="193">
        <f t="shared" si="13"/>
        <v>2942463</v>
      </c>
      <c r="AK33" s="193"/>
      <c r="AL33" s="193"/>
      <c r="AM33" s="194"/>
      <c r="AN33" s="327">
        <f t="shared" si="14"/>
        <v>841329</v>
      </c>
      <c r="AO33" s="327">
        <v>841329</v>
      </c>
      <c r="AP33" s="327"/>
      <c r="AQ33" s="327"/>
      <c r="AR33" s="328"/>
      <c r="AS33" s="327">
        <f t="shared" si="15"/>
        <v>0</v>
      </c>
      <c r="AT33" s="327">
        <v>0</v>
      </c>
      <c r="AU33" s="327">
        <v>0</v>
      </c>
      <c r="AV33" s="327">
        <v>0</v>
      </c>
      <c r="AW33" s="328">
        <v>0</v>
      </c>
      <c r="AX33" s="327">
        <f t="shared" si="16"/>
        <v>3899201237.864326</v>
      </c>
      <c r="AY33" s="327">
        <v>3899201237.864326</v>
      </c>
      <c r="AZ33" s="327"/>
      <c r="BA33" s="327"/>
      <c r="BB33" s="328"/>
      <c r="BC33" s="328"/>
      <c r="BD33" s="182"/>
      <c r="BE33" s="182"/>
      <c r="BF33" s="182"/>
      <c r="BG33" s="182"/>
      <c r="BH33" s="182"/>
      <c r="BI33" s="182"/>
      <c r="BJ33" s="182"/>
      <c r="BK33" s="320">
        <f t="shared" si="4"/>
        <v>510000</v>
      </c>
      <c r="BL33" s="321"/>
      <c r="BM33" s="320">
        <v>510000</v>
      </c>
      <c r="BN33" s="321"/>
    </row>
    <row r="34" spans="1:66" ht="17.100000000000001" customHeight="1">
      <c r="B34" s="305"/>
      <c r="C34" s="196"/>
      <c r="D34" s="192" t="s">
        <v>140</v>
      </c>
      <c r="E34" s="365">
        <f t="shared" si="5"/>
        <v>0</v>
      </c>
      <c r="F34" s="365">
        <f t="shared" si="6"/>
        <v>0</v>
      </c>
      <c r="G34" s="365">
        <f t="shared" si="7"/>
        <v>0</v>
      </c>
      <c r="H34" s="365"/>
      <c r="I34" s="370">
        <f t="shared" si="8"/>
        <v>0</v>
      </c>
      <c r="J34" s="327">
        <f t="shared" si="9"/>
        <v>0</v>
      </c>
      <c r="K34" s="327">
        <v>0</v>
      </c>
      <c r="L34" s="327"/>
      <c r="M34" s="327"/>
      <c r="N34" s="328"/>
      <c r="O34" s="327">
        <f t="shared" si="2"/>
        <v>0</v>
      </c>
      <c r="P34" s="327">
        <v>0</v>
      </c>
      <c r="Q34" s="327"/>
      <c r="R34" s="327"/>
      <c r="S34" s="328"/>
      <c r="T34" s="327">
        <f t="shared" si="10"/>
        <v>56000</v>
      </c>
      <c r="U34" s="193">
        <v>56000</v>
      </c>
      <c r="V34" s="193"/>
      <c r="W34" s="193"/>
      <c r="X34" s="194"/>
      <c r="Y34" s="327">
        <f t="shared" si="11"/>
        <v>0</v>
      </c>
      <c r="Z34" s="327">
        <v>0</v>
      </c>
      <c r="AA34" s="327">
        <v>0</v>
      </c>
      <c r="AB34" s="327"/>
      <c r="AC34" s="328"/>
      <c r="AD34" s="327">
        <f t="shared" si="12"/>
        <v>0</v>
      </c>
      <c r="AE34" s="327">
        <v>0</v>
      </c>
      <c r="AF34" s="327"/>
      <c r="AG34" s="327"/>
      <c r="AH34" s="328"/>
      <c r="AI34" s="193">
        <v>0</v>
      </c>
      <c r="AJ34" s="193">
        <f t="shared" si="13"/>
        <v>0</v>
      </c>
      <c r="AK34" s="193"/>
      <c r="AL34" s="193"/>
      <c r="AM34" s="194"/>
      <c r="AN34" s="327">
        <f t="shared" si="14"/>
        <v>0</v>
      </c>
      <c r="AO34" s="327">
        <v>0</v>
      </c>
      <c r="AP34" s="327"/>
      <c r="AQ34" s="327"/>
      <c r="AR34" s="328"/>
      <c r="AS34" s="327">
        <f t="shared" si="15"/>
        <v>140240</v>
      </c>
      <c r="AT34" s="327">
        <v>140240</v>
      </c>
      <c r="AU34" s="327">
        <v>0</v>
      </c>
      <c r="AV34" s="327">
        <v>0</v>
      </c>
      <c r="AW34" s="328">
        <v>0</v>
      </c>
      <c r="AX34" s="327">
        <f t="shared" si="16"/>
        <v>0</v>
      </c>
      <c r="AY34" s="327">
        <v>0</v>
      </c>
      <c r="AZ34" s="327"/>
      <c r="BA34" s="327"/>
      <c r="BB34" s="328"/>
      <c r="BC34" s="328"/>
      <c r="BD34" s="182"/>
      <c r="BE34" s="182"/>
      <c r="BF34" s="182"/>
      <c r="BG34" s="182"/>
      <c r="BH34" s="182"/>
      <c r="BI34" s="182"/>
      <c r="BJ34" s="182"/>
      <c r="BK34" s="320">
        <f>BM34+BO34+BQ34</f>
        <v>56000</v>
      </c>
      <c r="BL34" s="321"/>
      <c r="BM34" s="320">
        <v>56000</v>
      </c>
      <c r="BN34" s="321"/>
    </row>
    <row r="35" spans="1:66" ht="17.100000000000001" customHeight="1">
      <c r="B35" s="305"/>
      <c r="C35" s="196"/>
      <c r="D35" s="192" t="s">
        <v>141</v>
      </c>
      <c r="E35" s="365">
        <f t="shared" si="5"/>
        <v>0</v>
      </c>
      <c r="F35" s="365">
        <f t="shared" si="6"/>
        <v>0</v>
      </c>
      <c r="G35" s="365">
        <f t="shared" si="7"/>
        <v>0</v>
      </c>
      <c r="H35" s="365"/>
      <c r="I35" s="370">
        <f t="shared" si="8"/>
        <v>0</v>
      </c>
      <c r="J35" s="327">
        <f t="shared" si="9"/>
        <v>0</v>
      </c>
      <c r="K35" s="327">
        <v>0</v>
      </c>
      <c r="L35" s="327"/>
      <c r="M35" s="327"/>
      <c r="N35" s="328"/>
      <c r="O35" s="327">
        <f t="shared" si="2"/>
        <v>0</v>
      </c>
      <c r="P35" s="327">
        <v>0</v>
      </c>
      <c r="Q35" s="327"/>
      <c r="R35" s="327"/>
      <c r="S35" s="328"/>
      <c r="T35" s="327">
        <f t="shared" si="10"/>
        <v>26000</v>
      </c>
      <c r="U35" s="193">
        <v>26000</v>
      </c>
      <c r="V35" s="193"/>
      <c r="W35" s="193"/>
      <c r="X35" s="194"/>
      <c r="Y35" s="327">
        <f t="shared" si="11"/>
        <v>0</v>
      </c>
      <c r="Z35" s="327">
        <v>0</v>
      </c>
      <c r="AA35" s="327">
        <v>0</v>
      </c>
      <c r="AB35" s="327"/>
      <c r="AC35" s="328"/>
      <c r="AD35" s="327">
        <f t="shared" si="12"/>
        <v>0</v>
      </c>
      <c r="AE35" s="327">
        <v>0</v>
      </c>
      <c r="AF35" s="327"/>
      <c r="AG35" s="327"/>
      <c r="AH35" s="328"/>
      <c r="AI35" s="193">
        <v>0</v>
      </c>
      <c r="AJ35" s="193">
        <f t="shared" si="13"/>
        <v>0</v>
      </c>
      <c r="AK35" s="193"/>
      <c r="AL35" s="193"/>
      <c r="AM35" s="194"/>
      <c r="AN35" s="327">
        <f t="shared" si="14"/>
        <v>0</v>
      </c>
      <c r="AO35" s="327">
        <v>0</v>
      </c>
      <c r="AP35" s="327"/>
      <c r="AQ35" s="327"/>
      <c r="AR35" s="328"/>
      <c r="AS35" s="327">
        <f t="shared" si="15"/>
        <v>0</v>
      </c>
      <c r="AT35" s="327">
        <v>0</v>
      </c>
      <c r="AU35" s="327">
        <v>0</v>
      </c>
      <c r="AV35" s="327">
        <v>0</v>
      </c>
      <c r="AW35" s="328">
        <v>0</v>
      </c>
      <c r="AX35" s="327">
        <f t="shared" si="16"/>
        <v>0</v>
      </c>
      <c r="AY35" s="327">
        <v>0</v>
      </c>
      <c r="AZ35" s="327"/>
      <c r="BA35" s="327"/>
      <c r="BB35" s="328"/>
      <c r="BC35" s="328"/>
      <c r="BD35" s="182"/>
      <c r="BE35" s="182"/>
      <c r="BF35" s="182"/>
      <c r="BG35" s="182"/>
      <c r="BH35" s="182"/>
      <c r="BI35" s="182"/>
      <c r="BJ35" s="182"/>
      <c r="BK35" s="320">
        <f t="shared" ref="BK35:BK43" si="17">BM35+BO35+BQ35</f>
        <v>26000</v>
      </c>
      <c r="BL35" s="321"/>
      <c r="BM35" s="320">
        <v>26000</v>
      </c>
      <c r="BN35" s="321"/>
    </row>
    <row r="36" spans="1:66" s="180" customFormat="1" ht="17.100000000000001" customHeight="1">
      <c r="A36" s="179"/>
      <c r="B36" s="305"/>
      <c r="C36" s="196"/>
      <c r="D36" s="197" t="s">
        <v>142</v>
      </c>
      <c r="E36" s="365">
        <f t="shared" si="5"/>
        <v>1.5611119999999996E-2</v>
      </c>
      <c r="F36" s="365">
        <f t="shared" si="6"/>
        <v>1.7373873172034631E-2</v>
      </c>
      <c r="G36" s="365">
        <f t="shared" si="7"/>
        <v>0</v>
      </c>
      <c r="H36" s="365"/>
      <c r="I36" s="370">
        <f t="shared" si="8"/>
        <v>0</v>
      </c>
      <c r="J36" s="327">
        <f t="shared" si="9"/>
        <v>3125575.6671904321</v>
      </c>
      <c r="K36" s="327">
        <v>3125575.6671904321</v>
      </c>
      <c r="L36" s="327"/>
      <c r="M36" s="327"/>
      <c r="N36" s="328"/>
      <c r="O36" s="327">
        <f t="shared" si="2"/>
        <v>3631898</v>
      </c>
      <c r="P36" s="327">
        <v>3631898</v>
      </c>
      <c r="Q36" s="327"/>
      <c r="R36" s="327"/>
      <c r="S36" s="328"/>
      <c r="T36" s="327">
        <f t="shared" si="10"/>
        <v>1475000</v>
      </c>
      <c r="U36" s="193">
        <v>1475000</v>
      </c>
      <c r="V36" s="193"/>
      <c r="W36" s="193"/>
      <c r="X36" s="194"/>
      <c r="Y36" s="327">
        <f t="shared" si="11"/>
        <v>1285824.2610303995</v>
      </c>
      <c r="Z36" s="327">
        <v>1285824.2610303995</v>
      </c>
      <c r="AA36" s="327">
        <v>0</v>
      </c>
      <c r="AB36" s="327"/>
      <c r="AC36" s="328"/>
      <c r="AD36" s="327">
        <f t="shared" si="12"/>
        <v>5919313</v>
      </c>
      <c r="AE36" s="327">
        <v>5919313</v>
      </c>
      <c r="AF36" s="327"/>
      <c r="AG36" s="327"/>
      <c r="AH36" s="328"/>
      <c r="AI36" s="193">
        <v>5830435</v>
      </c>
      <c r="AJ36" s="193">
        <f>AI36-AL36-AM36</f>
        <v>5830435</v>
      </c>
      <c r="AK36" s="193"/>
      <c r="AL36" s="193"/>
      <c r="AM36" s="194"/>
      <c r="AN36" s="327">
        <f t="shared" si="14"/>
        <v>4684206</v>
      </c>
      <c r="AO36" s="327">
        <v>4684206</v>
      </c>
      <c r="AP36" s="327"/>
      <c r="AQ36" s="327"/>
      <c r="AR36" s="328"/>
      <c r="AS36" s="327">
        <f t="shared" si="15"/>
        <v>7314821</v>
      </c>
      <c r="AT36" s="327">
        <v>7314821</v>
      </c>
      <c r="AU36" s="327">
        <v>0</v>
      </c>
      <c r="AV36" s="327">
        <v>0</v>
      </c>
      <c r="AW36" s="328">
        <v>0</v>
      </c>
      <c r="AX36" s="327">
        <f t="shared" si="16"/>
        <v>8479025930.4701662</v>
      </c>
      <c r="AY36" s="327">
        <v>8479025930.4701662</v>
      </c>
      <c r="AZ36" s="327"/>
      <c r="BA36" s="327"/>
      <c r="BB36" s="328"/>
      <c r="BC36" s="328"/>
      <c r="BD36" s="182"/>
      <c r="BE36" s="182"/>
      <c r="BF36" s="182"/>
      <c r="BG36" s="182"/>
      <c r="BH36" s="182"/>
      <c r="BI36" s="182"/>
      <c r="BJ36" s="182"/>
      <c r="BK36" s="320">
        <f t="shared" si="17"/>
        <v>1475000</v>
      </c>
      <c r="BL36" s="321"/>
      <c r="BM36" s="320">
        <v>1475000</v>
      </c>
      <c r="BN36" s="321"/>
    </row>
    <row r="37" spans="1:66" s="180" customFormat="1" ht="17.100000000000001" customHeight="1">
      <c r="A37" s="179"/>
      <c r="B37" s="305"/>
      <c r="C37" s="196"/>
      <c r="D37" s="197" t="s">
        <v>143</v>
      </c>
      <c r="E37" s="365">
        <f t="shared" si="5"/>
        <v>1.8531799999999998E-3</v>
      </c>
      <c r="F37" s="365">
        <f t="shared" si="6"/>
        <v>2.0624346161550958E-3</v>
      </c>
      <c r="G37" s="365">
        <f t="shared" si="7"/>
        <v>0</v>
      </c>
      <c r="H37" s="365"/>
      <c r="I37" s="370">
        <f t="shared" si="8"/>
        <v>0</v>
      </c>
      <c r="J37" s="327">
        <f t="shared" si="9"/>
        <v>371033.87296516623</v>
      </c>
      <c r="K37" s="327">
        <v>371033.87296516623</v>
      </c>
      <c r="L37" s="327"/>
      <c r="M37" s="327"/>
      <c r="N37" s="328"/>
      <c r="O37" s="327">
        <f t="shared" si="2"/>
        <v>64567</v>
      </c>
      <c r="P37" s="327">
        <v>64567</v>
      </c>
      <c r="Q37" s="327"/>
      <c r="R37" s="327"/>
      <c r="S37" s="328"/>
      <c r="T37" s="327">
        <f t="shared" si="10"/>
        <v>751000</v>
      </c>
      <c r="U37" s="193">
        <v>751000</v>
      </c>
      <c r="V37" s="193"/>
      <c r="W37" s="193"/>
      <c r="X37" s="194"/>
      <c r="Y37" s="327">
        <f t="shared" si="11"/>
        <v>152638.87562559996</v>
      </c>
      <c r="Z37" s="327">
        <v>152638.87562559996</v>
      </c>
      <c r="AA37" s="327">
        <v>0</v>
      </c>
      <c r="AB37" s="327"/>
      <c r="AC37" s="328"/>
      <c r="AD37" s="327">
        <f t="shared" si="12"/>
        <v>0</v>
      </c>
      <c r="AE37" s="327">
        <v>0</v>
      </c>
      <c r="AF37" s="327"/>
      <c r="AG37" s="327"/>
      <c r="AH37" s="328"/>
      <c r="AI37" s="193">
        <v>1852662</v>
      </c>
      <c r="AJ37" s="193">
        <f t="shared" si="13"/>
        <v>1852662</v>
      </c>
      <c r="AK37" s="193"/>
      <c r="AL37" s="193"/>
      <c r="AM37" s="194"/>
      <c r="AN37" s="327">
        <f t="shared" si="14"/>
        <v>0</v>
      </c>
      <c r="AO37" s="327">
        <v>0</v>
      </c>
      <c r="AP37" s="327"/>
      <c r="AQ37" s="327"/>
      <c r="AR37" s="328"/>
      <c r="AS37" s="327">
        <f t="shared" si="15"/>
        <v>2151685</v>
      </c>
      <c r="AT37" s="327">
        <v>2151685</v>
      </c>
      <c r="AU37" s="327">
        <v>0</v>
      </c>
      <c r="AV37" s="327">
        <v>0</v>
      </c>
      <c r="AW37" s="328">
        <v>0</v>
      </c>
      <c r="AX37" s="327">
        <f t="shared" si="16"/>
        <v>0</v>
      </c>
      <c r="AY37" s="327">
        <v>0</v>
      </c>
      <c r="AZ37" s="327"/>
      <c r="BA37" s="327"/>
      <c r="BB37" s="328"/>
      <c r="BC37" s="328"/>
      <c r="BD37" s="182"/>
      <c r="BE37" s="182"/>
      <c r="BF37" s="182"/>
      <c r="BG37" s="182"/>
      <c r="BH37" s="182"/>
      <c r="BI37" s="182"/>
      <c r="BJ37" s="182"/>
      <c r="BK37" s="320">
        <f t="shared" si="17"/>
        <v>751000</v>
      </c>
      <c r="BL37" s="321"/>
      <c r="BM37" s="320">
        <v>751000</v>
      </c>
      <c r="BN37" s="321"/>
    </row>
    <row r="38" spans="1:66" s="180" customFormat="1" ht="17.100000000000001" customHeight="1">
      <c r="A38" s="179"/>
      <c r="B38" s="305"/>
      <c r="C38" s="198"/>
      <c r="D38" s="199" t="s">
        <v>144</v>
      </c>
      <c r="E38" s="366">
        <f t="shared" si="5"/>
        <v>8.5400000000000004E-2</v>
      </c>
      <c r="F38" s="366">
        <f t="shared" ref="F38:F40" si="18">Z38/Z$79</f>
        <v>9.5043069868898447E-2</v>
      </c>
      <c r="G38" s="366">
        <f t="shared" ref="G38:G40" si="19">AA38/AA$79</f>
        <v>0</v>
      </c>
      <c r="H38" s="366"/>
      <c r="I38" s="371">
        <f t="shared" ref="I38:I40" si="20">AC38/AC$79</f>
        <v>0</v>
      </c>
      <c r="J38" s="335">
        <f>SUM(J25:J37)</f>
        <v>17098335.159685083</v>
      </c>
      <c r="K38" s="335">
        <v>17098335.159685083</v>
      </c>
      <c r="L38" s="335">
        <v>0</v>
      </c>
      <c r="M38" s="335">
        <v>0</v>
      </c>
      <c r="N38" s="336">
        <v>0</v>
      </c>
      <c r="O38" s="335">
        <f>SUM(O25:O37)</f>
        <v>10669710</v>
      </c>
      <c r="P38" s="335">
        <v>10669710</v>
      </c>
      <c r="Q38" s="335">
        <v>0</v>
      </c>
      <c r="R38" s="335">
        <v>0</v>
      </c>
      <c r="S38" s="336">
        <v>0</v>
      </c>
      <c r="T38" s="335">
        <f>SUM(T25:T37)</f>
        <v>8104000</v>
      </c>
      <c r="U38" s="200">
        <v>8104000</v>
      </c>
      <c r="V38" s="200">
        <f>SUM(V25:V37)</f>
        <v>0</v>
      </c>
      <c r="W38" s="200">
        <f>SUM(W25:W37)</f>
        <v>0</v>
      </c>
      <c r="X38" s="201">
        <f>SUM(X25:X37)</f>
        <v>0</v>
      </c>
      <c r="Y38" s="335">
        <f>SUM(Y25:Y37)</f>
        <v>7034049.567999999</v>
      </c>
      <c r="Z38" s="335">
        <v>7034049.567999999</v>
      </c>
      <c r="AA38" s="335">
        <v>0</v>
      </c>
      <c r="AB38" s="335">
        <v>0</v>
      </c>
      <c r="AC38" s="336">
        <v>0</v>
      </c>
      <c r="AD38" s="335">
        <f>SUM(AD25:AD37)</f>
        <v>17185989</v>
      </c>
      <c r="AE38" s="335">
        <v>17185989</v>
      </c>
      <c r="AF38" s="335">
        <v>0</v>
      </c>
      <c r="AG38" s="335">
        <v>0</v>
      </c>
      <c r="AH38" s="336">
        <v>0</v>
      </c>
      <c r="AI38" s="200">
        <f t="shared" ref="AI38:AS38" si="21">SUM(AI25:AI37)</f>
        <v>24002867</v>
      </c>
      <c r="AJ38" s="200">
        <f t="shared" si="21"/>
        <v>24002867</v>
      </c>
      <c r="AK38" s="200">
        <f t="shared" si="21"/>
        <v>0</v>
      </c>
      <c r="AL38" s="200">
        <f t="shared" si="21"/>
        <v>0</v>
      </c>
      <c r="AM38" s="201">
        <f t="shared" si="21"/>
        <v>0</v>
      </c>
      <c r="AN38" s="335">
        <f t="shared" si="21"/>
        <v>13600000</v>
      </c>
      <c r="AO38" s="335">
        <f t="shared" si="21"/>
        <v>13600000</v>
      </c>
      <c r="AP38" s="335">
        <f t="shared" si="21"/>
        <v>0</v>
      </c>
      <c r="AQ38" s="335">
        <f t="shared" si="21"/>
        <v>0</v>
      </c>
      <c r="AR38" s="336">
        <f t="shared" si="21"/>
        <v>0</v>
      </c>
      <c r="AS38" s="335">
        <f t="shared" si="21"/>
        <v>13452684</v>
      </c>
      <c r="AT38" s="335">
        <v>13452684</v>
      </c>
      <c r="AU38" s="335">
        <f>SUM(AU25:AU37)</f>
        <v>0</v>
      </c>
      <c r="AV38" s="335">
        <f>SUM(AV25:AV37)</f>
        <v>0</v>
      </c>
      <c r="AW38" s="336">
        <f>SUM(AW25:AW37)</f>
        <v>0</v>
      </c>
      <c r="AX38" s="335">
        <f>SUM(AX25:AX37)</f>
        <v>50826430170.757812</v>
      </c>
      <c r="AY38" s="335">
        <v>50826430170.757812</v>
      </c>
      <c r="AZ38" s="335">
        <v>0</v>
      </c>
      <c r="BA38" s="335">
        <v>0</v>
      </c>
      <c r="BB38" s="336">
        <v>0</v>
      </c>
      <c r="BC38" s="336"/>
      <c r="BD38" s="182"/>
      <c r="BE38" s="182"/>
      <c r="BF38" s="182"/>
      <c r="BG38" s="182"/>
      <c r="BH38" s="182"/>
      <c r="BI38" s="182"/>
      <c r="BJ38" s="182"/>
      <c r="BK38" s="320">
        <f>SUM(BK25:BL37)</f>
        <v>8104000</v>
      </c>
      <c r="BL38" s="321"/>
      <c r="BM38" s="320">
        <f>SUM(BM25:BN37)</f>
        <v>8104000</v>
      </c>
      <c r="BN38" s="321"/>
    </row>
    <row r="39" spans="1:66" s="180" customFormat="1" ht="17.100000000000001" customHeight="1">
      <c r="A39" s="179"/>
      <c r="B39" s="305"/>
      <c r="C39" s="191" t="s">
        <v>145</v>
      </c>
      <c r="D39" s="197" t="s">
        <v>146</v>
      </c>
      <c r="E39" s="365">
        <f t="shared" si="5"/>
        <v>3.2850900000000002E-2</v>
      </c>
      <c r="F39" s="365">
        <f t="shared" si="18"/>
        <v>3.6560308945622906E-2</v>
      </c>
      <c r="G39" s="365">
        <f t="shared" si="19"/>
        <v>0</v>
      </c>
      <c r="H39" s="365"/>
      <c r="I39" s="370">
        <f t="shared" si="20"/>
        <v>0</v>
      </c>
      <c r="J39" s="327">
        <f t="shared" si="9"/>
        <v>6577233.0034812493</v>
      </c>
      <c r="K39" s="327">
        <v>6577233.0034812493</v>
      </c>
      <c r="L39" s="327">
        <v>0</v>
      </c>
      <c r="M39" s="327">
        <v>0</v>
      </c>
      <c r="N39" s="328">
        <v>0</v>
      </c>
      <c r="O39" s="327">
        <f t="shared" ref="O39:O61" si="22">P39+Q39+R39+S39</f>
        <v>3869633</v>
      </c>
      <c r="P39" s="327">
        <v>3869633</v>
      </c>
      <c r="Q39" s="327">
        <v>0</v>
      </c>
      <c r="R39" s="327">
        <v>0</v>
      </c>
      <c r="S39" s="328">
        <v>0</v>
      </c>
      <c r="T39" s="327">
        <f t="shared" si="10"/>
        <v>2857000</v>
      </c>
      <c r="U39" s="193">
        <v>2857000</v>
      </c>
      <c r="V39" s="193"/>
      <c r="W39" s="193"/>
      <c r="X39" s="194"/>
      <c r="Y39" s="327">
        <f t="shared" ref="Y39:Y61" si="23">Z39+AA39+AB39+AC39</f>
        <v>2705794.601328</v>
      </c>
      <c r="Z39" s="342">
        <v>2705794.601328</v>
      </c>
      <c r="AA39" s="327">
        <v>0</v>
      </c>
      <c r="AB39" s="327">
        <v>0</v>
      </c>
      <c r="AC39" s="328">
        <v>0</v>
      </c>
      <c r="AD39" s="327">
        <f t="shared" ref="AD39:AD61" si="24">AE39+AF39+AG39+AH39</f>
        <v>3326752</v>
      </c>
      <c r="AE39" s="327">
        <v>3326752</v>
      </c>
      <c r="AF39" s="327">
        <v>0</v>
      </c>
      <c r="AG39" s="327">
        <v>0</v>
      </c>
      <c r="AH39" s="328">
        <v>0</v>
      </c>
      <c r="AI39" s="193">
        <v>9780964</v>
      </c>
      <c r="AJ39" s="193">
        <f t="shared" ref="AJ39:AJ61" si="25">AI39-AL39-AM39</f>
        <v>9780964</v>
      </c>
      <c r="AK39" s="193"/>
      <c r="AL39" s="193"/>
      <c r="AM39" s="194"/>
      <c r="AN39" s="327">
        <f t="shared" si="14"/>
        <v>2372021</v>
      </c>
      <c r="AO39" s="327">
        <v>2372021</v>
      </c>
      <c r="AP39" s="327"/>
      <c r="AQ39" s="327"/>
      <c r="AR39" s="328"/>
      <c r="AS39" s="327">
        <f t="shared" si="15"/>
        <v>6153002</v>
      </c>
      <c r="AT39" s="327">
        <v>6153002</v>
      </c>
      <c r="AU39" s="327">
        <v>0</v>
      </c>
      <c r="AV39" s="327">
        <v>0</v>
      </c>
      <c r="AW39" s="328">
        <v>0</v>
      </c>
      <c r="AX39" s="327">
        <f t="shared" ref="AX39:AX61" si="26">AY39+AZ39+BA39+BB39</f>
        <v>21398202361.580372</v>
      </c>
      <c r="AY39" s="327">
        <v>21398202361.580372</v>
      </c>
      <c r="AZ39" s="327">
        <v>0</v>
      </c>
      <c r="BA39" s="327">
        <v>0</v>
      </c>
      <c r="BB39" s="328">
        <v>0</v>
      </c>
      <c r="BC39" s="328"/>
      <c r="BD39" s="182"/>
      <c r="BE39" s="182"/>
      <c r="BF39" s="182"/>
      <c r="BG39" s="182"/>
      <c r="BH39" s="182"/>
      <c r="BI39" s="182"/>
      <c r="BJ39" s="182"/>
      <c r="BK39" s="320">
        <f>BM39+BO39+BQ39</f>
        <v>2857000</v>
      </c>
      <c r="BL39" s="321"/>
      <c r="BM39" s="320">
        <v>2857000</v>
      </c>
      <c r="BN39" s="321"/>
    </row>
    <row r="40" spans="1:66" s="180" customFormat="1" ht="17.100000000000001" customHeight="1">
      <c r="A40" s="179"/>
      <c r="B40" s="305"/>
      <c r="C40" s="195" t="s">
        <v>147</v>
      </c>
      <c r="D40" s="197" t="s">
        <v>148</v>
      </c>
      <c r="E40" s="365">
        <f t="shared" si="5"/>
        <v>1.1240100000000001E-2</v>
      </c>
      <c r="F40" s="365">
        <f t="shared" si="18"/>
        <v>1.2509292852850183E-2</v>
      </c>
      <c r="G40" s="365">
        <f t="shared" si="19"/>
        <v>0</v>
      </c>
      <c r="H40" s="365"/>
      <c r="I40" s="370">
        <f t="shared" si="20"/>
        <v>0</v>
      </c>
      <c r="J40" s="327">
        <f t="shared" si="9"/>
        <v>2250433.2204727903</v>
      </c>
      <c r="K40" s="327">
        <v>2250433.2204727903</v>
      </c>
      <c r="L40" s="327"/>
      <c r="M40" s="327"/>
      <c r="N40" s="328"/>
      <c r="O40" s="327">
        <f t="shared" si="22"/>
        <v>769169</v>
      </c>
      <c r="P40" s="327">
        <v>769169</v>
      </c>
      <c r="Q40" s="327"/>
      <c r="R40" s="327"/>
      <c r="S40" s="328"/>
      <c r="T40" s="327">
        <f t="shared" si="10"/>
        <v>1100000</v>
      </c>
      <c r="U40" s="193">
        <v>1100000</v>
      </c>
      <c r="V40" s="193"/>
      <c r="W40" s="193"/>
      <c r="X40" s="194"/>
      <c r="Y40" s="327">
        <f t="shared" si="23"/>
        <v>925801.17739199998</v>
      </c>
      <c r="Z40" s="342">
        <v>925801.17739199998</v>
      </c>
      <c r="AA40" s="327">
        <v>0</v>
      </c>
      <c r="AB40" s="327"/>
      <c r="AC40" s="328"/>
      <c r="AD40" s="327">
        <f t="shared" si="24"/>
        <v>1056611</v>
      </c>
      <c r="AE40" s="327">
        <v>1056611</v>
      </c>
      <c r="AF40" s="327"/>
      <c r="AG40" s="327"/>
      <c r="AH40" s="328"/>
      <c r="AI40" s="193">
        <v>2860728</v>
      </c>
      <c r="AJ40" s="193">
        <f t="shared" si="25"/>
        <v>2860728</v>
      </c>
      <c r="AK40" s="193"/>
      <c r="AL40" s="193"/>
      <c r="AM40" s="194"/>
      <c r="AN40" s="327">
        <f t="shared" si="14"/>
        <v>753378</v>
      </c>
      <c r="AO40" s="327">
        <v>753378</v>
      </c>
      <c r="AP40" s="327"/>
      <c r="AQ40" s="327"/>
      <c r="AR40" s="328"/>
      <c r="AS40" s="327">
        <f t="shared" si="15"/>
        <v>619704</v>
      </c>
      <c r="AT40" s="327">
        <v>619704</v>
      </c>
      <c r="AU40" s="327">
        <v>0</v>
      </c>
      <c r="AV40" s="327">
        <v>0</v>
      </c>
      <c r="AW40" s="328">
        <v>0</v>
      </c>
      <c r="AX40" s="327">
        <f t="shared" si="26"/>
        <v>5895423099.6190825</v>
      </c>
      <c r="AY40" s="327">
        <v>5895423099.6190825</v>
      </c>
      <c r="AZ40" s="327"/>
      <c r="BA40" s="327"/>
      <c r="BB40" s="328"/>
      <c r="BC40" s="328"/>
      <c r="BD40" s="182"/>
      <c r="BE40" s="182"/>
      <c r="BF40" s="182"/>
      <c r="BG40" s="182"/>
      <c r="BH40" s="182"/>
      <c r="BI40" s="182"/>
      <c r="BJ40" s="182"/>
      <c r="BK40" s="320">
        <f t="shared" si="17"/>
        <v>1100000</v>
      </c>
      <c r="BL40" s="321"/>
      <c r="BM40" s="320">
        <v>1100000</v>
      </c>
      <c r="BN40" s="321"/>
    </row>
    <row r="41" spans="1:66" s="180" customFormat="1" ht="17.100000000000001" customHeight="1">
      <c r="A41" s="179"/>
      <c r="B41" s="305"/>
      <c r="C41" s="196"/>
      <c r="D41" s="192" t="s">
        <v>149</v>
      </c>
      <c r="E41" s="365">
        <f t="shared" si="5"/>
        <v>1.5214500000000002E-2</v>
      </c>
      <c r="F41" s="365">
        <f t="shared" ref="F41:F61" si="27">Z41/Z$79</f>
        <v>1.6932468226233673E-2</v>
      </c>
      <c r="G41" s="365">
        <f t="shared" ref="G41:G61" si="28">AA41/AA$79</f>
        <v>0</v>
      </c>
      <c r="H41" s="365"/>
      <c r="I41" s="370">
        <f t="shared" ref="I41:I61" si="29">AC41/AC$79</f>
        <v>0</v>
      </c>
      <c r="J41" s="327">
        <f t="shared" si="9"/>
        <v>3046166.5138996337</v>
      </c>
      <c r="K41" s="327">
        <v>3046166.5138996337</v>
      </c>
      <c r="L41" s="327"/>
      <c r="M41" s="327"/>
      <c r="N41" s="328"/>
      <c r="O41" s="327">
        <f t="shared" si="22"/>
        <v>1942746</v>
      </c>
      <c r="P41" s="327">
        <v>1942746</v>
      </c>
      <c r="Q41" s="327"/>
      <c r="R41" s="327"/>
      <c r="S41" s="328"/>
      <c r="T41" s="327">
        <f t="shared" si="10"/>
        <v>5936000</v>
      </c>
      <c r="U41" s="193">
        <v>5936000</v>
      </c>
      <c r="V41" s="193"/>
      <c r="W41" s="193"/>
      <c r="X41" s="194"/>
      <c r="Y41" s="327">
        <f t="shared" si="23"/>
        <v>1253156.28984</v>
      </c>
      <c r="Z41" s="342">
        <v>1253156.28984</v>
      </c>
      <c r="AA41" s="327">
        <v>0</v>
      </c>
      <c r="AB41" s="327"/>
      <c r="AC41" s="328"/>
      <c r="AD41" s="327">
        <f t="shared" si="24"/>
        <v>824850</v>
      </c>
      <c r="AE41" s="327">
        <v>824850</v>
      </c>
      <c r="AF41" s="327"/>
      <c r="AG41" s="327"/>
      <c r="AH41" s="328"/>
      <c r="AI41" s="193">
        <v>16537730</v>
      </c>
      <c r="AJ41" s="193">
        <f t="shared" si="25"/>
        <v>16537730</v>
      </c>
      <c r="AK41" s="193"/>
      <c r="AL41" s="193"/>
      <c r="AM41" s="194"/>
      <c r="AN41" s="327">
        <f t="shared" si="14"/>
        <v>588129</v>
      </c>
      <c r="AO41" s="327">
        <v>588129</v>
      </c>
      <c r="AP41" s="327"/>
      <c r="AQ41" s="327"/>
      <c r="AR41" s="328"/>
      <c r="AS41" s="327">
        <f t="shared" si="15"/>
        <v>1112581</v>
      </c>
      <c r="AT41" s="327">
        <v>1112581</v>
      </c>
      <c r="AU41" s="327">
        <v>0</v>
      </c>
      <c r="AV41" s="327">
        <v>0</v>
      </c>
      <c r="AW41" s="328">
        <v>0</v>
      </c>
      <c r="AX41" s="327">
        <f t="shared" si="26"/>
        <v>17850031051.624443</v>
      </c>
      <c r="AY41" s="327">
        <v>17850031051.624443</v>
      </c>
      <c r="AZ41" s="327"/>
      <c r="BA41" s="327"/>
      <c r="BB41" s="328"/>
      <c r="BC41" s="328"/>
      <c r="BD41" s="182"/>
      <c r="BE41" s="182"/>
      <c r="BF41" s="182"/>
      <c r="BG41" s="182"/>
      <c r="BH41" s="182"/>
      <c r="BI41" s="182"/>
      <c r="BJ41" s="182"/>
      <c r="BK41" s="320">
        <f t="shared" si="17"/>
        <v>5936000</v>
      </c>
      <c r="BL41" s="321"/>
      <c r="BM41" s="320">
        <v>5936000</v>
      </c>
      <c r="BN41" s="321"/>
    </row>
    <row r="42" spans="1:66" s="180" customFormat="1" ht="17.100000000000001" customHeight="1">
      <c r="A42" s="179"/>
      <c r="B42" s="305"/>
      <c r="C42" s="196"/>
      <c r="D42" s="192" t="s">
        <v>150</v>
      </c>
      <c r="E42" s="365">
        <f t="shared" si="5"/>
        <v>2.9187000000000002E-3</v>
      </c>
      <c r="F42" s="365">
        <f t="shared" si="27"/>
        <v>3.2482694148284999E-3</v>
      </c>
      <c r="G42" s="365">
        <f t="shared" si="28"/>
        <v>0</v>
      </c>
      <c r="H42" s="365"/>
      <c r="I42" s="370">
        <f t="shared" si="29"/>
        <v>0</v>
      </c>
      <c r="J42" s="327">
        <f t="shared" si="9"/>
        <v>584366.63736033789</v>
      </c>
      <c r="K42" s="327">
        <v>584366.63736033789</v>
      </c>
      <c r="L42" s="327"/>
      <c r="M42" s="327"/>
      <c r="N42" s="328"/>
      <c r="O42" s="327">
        <f t="shared" si="22"/>
        <v>0</v>
      </c>
      <c r="P42" s="327">
        <v>0</v>
      </c>
      <c r="Q42" s="327"/>
      <c r="R42" s="327"/>
      <c r="S42" s="328"/>
      <c r="T42" s="327">
        <f t="shared" si="10"/>
        <v>0</v>
      </c>
      <c r="U42" s="193">
        <v>0</v>
      </c>
      <c r="V42" s="193"/>
      <c r="W42" s="193"/>
      <c r="X42" s="194"/>
      <c r="Y42" s="327">
        <f t="shared" si="23"/>
        <v>240401.41070399998</v>
      </c>
      <c r="Z42" s="327">
        <v>240401.41070399998</v>
      </c>
      <c r="AA42" s="327">
        <v>0</v>
      </c>
      <c r="AB42" s="327"/>
      <c r="AC42" s="328"/>
      <c r="AD42" s="327">
        <f t="shared" si="24"/>
        <v>0</v>
      </c>
      <c r="AE42" s="327">
        <v>0</v>
      </c>
      <c r="AF42" s="327"/>
      <c r="AG42" s="327"/>
      <c r="AH42" s="328"/>
      <c r="AI42" s="193">
        <v>0</v>
      </c>
      <c r="AJ42" s="193">
        <f t="shared" si="25"/>
        <v>0</v>
      </c>
      <c r="AK42" s="193"/>
      <c r="AL42" s="193"/>
      <c r="AM42" s="194"/>
      <c r="AN42" s="327">
        <f t="shared" si="14"/>
        <v>0</v>
      </c>
      <c r="AO42" s="327">
        <v>0</v>
      </c>
      <c r="AP42" s="327"/>
      <c r="AQ42" s="327"/>
      <c r="AR42" s="328"/>
      <c r="AS42" s="327">
        <f t="shared" si="15"/>
        <v>15641</v>
      </c>
      <c r="AT42" s="327">
        <v>15641</v>
      </c>
      <c r="AU42" s="327">
        <v>0</v>
      </c>
      <c r="AV42" s="327">
        <v>0</v>
      </c>
      <c r="AW42" s="328">
        <v>0</v>
      </c>
      <c r="AX42" s="327">
        <f t="shared" si="26"/>
        <v>0</v>
      </c>
      <c r="AY42" s="327">
        <v>0</v>
      </c>
      <c r="AZ42" s="327"/>
      <c r="BA42" s="327"/>
      <c r="BB42" s="328"/>
      <c r="BC42" s="328"/>
      <c r="BD42" s="182"/>
      <c r="BE42" s="182"/>
      <c r="BF42" s="182"/>
      <c r="BG42" s="182"/>
      <c r="BH42" s="182"/>
      <c r="BI42" s="182"/>
      <c r="BJ42" s="182"/>
      <c r="BK42" s="320">
        <f t="shared" si="17"/>
        <v>0</v>
      </c>
      <c r="BL42" s="321"/>
      <c r="BM42" s="320">
        <v>0</v>
      </c>
      <c r="BN42" s="321"/>
    </row>
    <row r="43" spans="1:66" s="180" customFormat="1" ht="17.100000000000001" customHeight="1">
      <c r="A43" s="179"/>
      <c r="B43" s="305"/>
      <c r="C43" s="196"/>
      <c r="D43" s="192" t="s">
        <v>151</v>
      </c>
      <c r="E43" s="365">
        <f t="shared" si="5"/>
        <v>0.274482</v>
      </c>
      <c r="F43" s="365">
        <f t="shared" si="27"/>
        <v>0.3054755492242972</v>
      </c>
      <c r="G43" s="365">
        <f t="shared" si="28"/>
        <v>0</v>
      </c>
      <c r="H43" s="365"/>
      <c r="I43" s="370">
        <f t="shared" si="29"/>
        <v>0</v>
      </c>
      <c r="J43" s="327">
        <f t="shared" si="9"/>
        <v>54955330.57729134</v>
      </c>
      <c r="K43" s="327">
        <v>54955330.57729134</v>
      </c>
      <c r="L43" s="327"/>
      <c r="M43" s="327"/>
      <c r="N43" s="328"/>
      <c r="O43" s="327">
        <f t="shared" si="22"/>
        <v>37321871</v>
      </c>
      <c r="P43" s="327">
        <v>37321871</v>
      </c>
      <c r="Q43" s="327"/>
      <c r="R43" s="327"/>
      <c r="S43" s="328"/>
      <c r="T43" s="327">
        <f t="shared" si="10"/>
        <v>31600000</v>
      </c>
      <c r="U43" s="193">
        <v>31600000</v>
      </c>
      <c r="V43" s="193"/>
      <c r="W43" s="193"/>
      <c r="X43" s="194"/>
      <c r="Y43" s="327">
        <f t="shared" si="23"/>
        <v>22607962.453439996</v>
      </c>
      <c r="Z43" s="342">
        <v>22607962.453439996</v>
      </c>
      <c r="AA43" s="327">
        <v>0</v>
      </c>
      <c r="AB43" s="327"/>
      <c r="AC43" s="328"/>
      <c r="AD43" s="327">
        <f t="shared" si="24"/>
        <v>54323138</v>
      </c>
      <c r="AE43" s="327">
        <v>54323138</v>
      </c>
      <c r="AF43" s="327"/>
      <c r="AG43" s="327"/>
      <c r="AH43" s="328"/>
      <c r="AI43" s="193">
        <v>60756405</v>
      </c>
      <c r="AJ43" s="193">
        <f t="shared" si="25"/>
        <v>60756405</v>
      </c>
      <c r="AK43" s="193"/>
      <c r="AL43" s="193"/>
      <c r="AM43" s="194"/>
      <c r="AN43" s="327">
        <f t="shared" si="14"/>
        <v>38733164</v>
      </c>
      <c r="AO43" s="327">
        <v>38733164</v>
      </c>
      <c r="AP43" s="327"/>
      <c r="AQ43" s="327"/>
      <c r="AR43" s="328"/>
      <c r="AS43" s="327">
        <f t="shared" si="15"/>
        <v>61208335</v>
      </c>
      <c r="AT43" s="327">
        <v>61208335</v>
      </c>
      <c r="AU43" s="327">
        <v>0</v>
      </c>
      <c r="AV43" s="327">
        <v>0</v>
      </c>
      <c r="AW43" s="328">
        <v>0</v>
      </c>
      <c r="AX43" s="327">
        <f t="shared" si="26"/>
        <v>131705311272.79092</v>
      </c>
      <c r="AY43" s="327">
        <v>131705311272.79092</v>
      </c>
      <c r="AZ43" s="327"/>
      <c r="BA43" s="327"/>
      <c r="BB43" s="328"/>
      <c r="BC43" s="328"/>
      <c r="BD43" s="182"/>
      <c r="BE43" s="182"/>
      <c r="BF43" s="182"/>
      <c r="BG43" s="182"/>
      <c r="BH43" s="182"/>
      <c r="BI43" s="182"/>
      <c r="BJ43" s="182"/>
      <c r="BK43" s="320">
        <f t="shared" si="17"/>
        <v>31600000</v>
      </c>
      <c r="BL43" s="321"/>
      <c r="BM43" s="320">
        <v>31600000</v>
      </c>
      <c r="BN43" s="321"/>
    </row>
    <row r="44" spans="1:66" s="180" customFormat="1" ht="17.100000000000001" customHeight="1">
      <c r="A44" s="179"/>
      <c r="B44" s="305"/>
      <c r="C44" s="196"/>
      <c r="D44" s="192" t="s">
        <v>152</v>
      </c>
      <c r="E44" s="365">
        <f t="shared" si="5"/>
        <v>0</v>
      </c>
      <c r="F44" s="365">
        <f t="shared" si="27"/>
        <v>0</v>
      </c>
      <c r="G44" s="365">
        <f t="shared" si="28"/>
        <v>0</v>
      </c>
      <c r="H44" s="365"/>
      <c r="I44" s="370">
        <f t="shared" si="29"/>
        <v>0</v>
      </c>
      <c r="J44" s="327">
        <f t="shared" si="9"/>
        <v>0</v>
      </c>
      <c r="K44" s="327">
        <v>0</v>
      </c>
      <c r="L44" s="327"/>
      <c r="M44" s="327"/>
      <c r="N44" s="328"/>
      <c r="O44" s="327">
        <f t="shared" si="22"/>
        <v>0</v>
      </c>
      <c r="P44" s="327">
        <v>0</v>
      </c>
      <c r="Q44" s="327"/>
      <c r="R44" s="327"/>
      <c r="S44" s="328"/>
      <c r="T44" s="327">
        <f t="shared" si="10"/>
        <v>0</v>
      </c>
      <c r="U44" s="193">
        <v>0</v>
      </c>
      <c r="V44" s="193"/>
      <c r="W44" s="193"/>
      <c r="X44" s="194"/>
      <c r="Y44" s="327">
        <f t="shared" si="23"/>
        <v>0</v>
      </c>
      <c r="Z44" s="327">
        <v>0</v>
      </c>
      <c r="AA44" s="327">
        <v>0</v>
      </c>
      <c r="AB44" s="327"/>
      <c r="AC44" s="328"/>
      <c r="AD44" s="327">
        <f t="shared" si="24"/>
        <v>0</v>
      </c>
      <c r="AE44" s="327">
        <v>0</v>
      </c>
      <c r="AF44" s="327"/>
      <c r="AG44" s="327"/>
      <c r="AH44" s="328"/>
      <c r="AI44" s="193">
        <v>0</v>
      </c>
      <c r="AJ44" s="193">
        <f t="shared" si="25"/>
        <v>0</v>
      </c>
      <c r="AK44" s="193"/>
      <c r="AL44" s="193"/>
      <c r="AM44" s="194"/>
      <c r="AN44" s="327">
        <f t="shared" si="14"/>
        <v>0</v>
      </c>
      <c r="AO44" s="327">
        <v>0</v>
      </c>
      <c r="AP44" s="327"/>
      <c r="AQ44" s="327"/>
      <c r="AR44" s="328"/>
      <c r="AS44" s="327">
        <f t="shared" si="15"/>
        <v>0</v>
      </c>
      <c r="AT44" s="327">
        <v>0</v>
      </c>
      <c r="AU44" s="327">
        <v>0</v>
      </c>
      <c r="AV44" s="327">
        <v>0</v>
      </c>
      <c r="AW44" s="328">
        <v>0</v>
      </c>
      <c r="AX44" s="327">
        <f t="shared" si="26"/>
        <v>0</v>
      </c>
      <c r="AY44" s="327">
        <v>0</v>
      </c>
      <c r="AZ44" s="327"/>
      <c r="BA44" s="327"/>
      <c r="BB44" s="328"/>
      <c r="BC44" s="328"/>
      <c r="BD44" s="182"/>
      <c r="BE44" s="182"/>
      <c r="BF44" s="182"/>
      <c r="BG44" s="182"/>
      <c r="BH44" s="182"/>
      <c r="BI44" s="182"/>
      <c r="BJ44" s="182"/>
      <c r="BK44" s="320"/>
      <c r="BL44" s="321"/>
      <c r="BM44" s="320">
        <v>0</v>
      </c>
      <c r="BN44" s="321"/>
    </row>
    <row r="45" spans="1:66" s="180" customFormat="1" ht="17.100000000000001" customHeight="1">
      <c r="A45" s="179"/>
      <c r="B45" s="305"/>
      <c r="C45" s="196"/>
      <c r="D45" s="192" t="s">
        <v>153</v>
      </c>
      <c r="E45" s="365">
        <f t="shared" si="5"/>
        <v>1.4593500000000001E-2</v>
      </c>
      <c r="F45" s="365">
        <f t="shared" si="27"/>
        <v>1.6241347074142501E-2</v>
      </c>
      <c r="G45" s="365">
        <f t="shared" si="28"/>
        <v>0</v>
      </c>
      <c r="H45" s="365"/>
      <c r="I45" s="370">
        <f t="shared" si="29"/>
        <v>0</v>
      </c>
      <c r="J45" s="327">
        <f t="shared" si="9"/>
        <v>2921833.1868016892</v>
      </c>
      <c r="K45" s="327">
        <v>2921833.1868016892</v>
      </c>
      <c r="L45" s="327"/>
      <c r="M45" s="327"/>
      <c r="N45" s="328"/>
      <c r="O45" s="327">
        <f t="shared" si="22"/>
        <v>1466972</v>
      </c>
      <c r="P45" s="327">
        <v>1466972</v>
      </c>
      <c r="Q45" s="327"/>
      <c r="R45" s="327"/>
      <c r="S45" s="328"/>
      <c r="T45" s="327">
        <f t="shared" si="10"/>
        <v>1789000</v>
      </c>
      <c r="U45" s="193">
        <v>1789000</v>
      </c>
      <c r="V45" s="193"/>
      <c r="W45" s="193"/>
      <c r="X45" s="194"/>
      <c r="Y45" s="327">
        <f t="shared" si="23"/>
        <v>1202007.0535199998</v>
      </c>
      <c r="Z45" s="342">
        <v>1202007.0535199998</v>
      </c>
      <c r="AA45" s="327">
        <v>0</v>
      </c>
      <c r="AB45" s="327"/>
      <c r="AC45" s="328"/>
      <c r="AD45" s="327">
        <f t="shared" si="24"/>
        <v>2827300</v>
      </c>
      <c r="AE45" s="327">
        <v>2827300</v>
      </c>
      <c r="AF45" s="327"/>
      <c r="AG45" s="327"/>
      <c r="AH45" s="328"/>
      <c r="AI45" s="193">
        <v>4658899</v>
      </c>
      <c r="AJ45" s="193">
        <f t="shared" si="25"/>
        <v>4658899</v>
      </c>
      <c r="AK45" s="193"/>
      <c r="AL45" s="193"/>
      <c r="AM45" s="194"/>
      <c r="AN45" s="327">
        <f t="shared" si="14"/>
        <v>2015904</v>
      </c>
      <c r="AO45" s="327">
        <v>2015904</v>
      </c>
      <c r="AP45" s="327"/>
      <c r="AQ45" s="327"/>
      <c r="AR45" s="328"/>
      <c r="AS45" s="327">
        <f t="shared" si="15"/>
        <v>3469178</v>
      </c>
      <c r="AT45" s="327">
        <v>3469178</v>
      </c>
      <c r="AU45" s="327">
        <v>0</v>
      </c>
      <c r="AV45" s="327">
        <v>0</v>
      </c>
      <c r="AW45" s="328">
        <v>0</v>
      </c>
      <c r="AX45" s="327">
        <f t="shared" si="26"/>
        <v>9607356162.3422089</v>
      </c>
      <c r="AY45" s="327">
        <v>9607356162.3422089</v>
      </c>
      <c r="AZ45" s="327"/>
      <c r="BA45" s="327"/>
      <c r="BB45" s="328"/>
      <c r="BC45" s="328"/>
      <c r="BD45" s="182"/>
      <c r="BE45" s="182"/>
      <c r="BF45" s="182"/>
      <c r="BG45" s="182"/>
      <c r="BH45" s="182"/>
      <c r="BI45" s="182"/>
      <c r="BJ45" s="182"/>
      <c r="BK45" s="320">
        <f t="shared" ref="BK45:BK71" si="30">BM45+BO45+BQ45</f>
        <v>1789000</v>
      </c>
      <c r="BL45" s="321"/>
      <c r="BM45" s="320">
        <v>1789000</v>
      </c>
      <c r="BN45" s="321"/>
    </row>
    <row r="46" spans="1:66" s="180" customFormat="1" ht="17.100000000000001" customHeight="1">
      <c r="A46" s="179"/>
      <c r="B46" s="305"/>
      <c r="C46" s="196"/>
      <c r="D46" s="192" t="s">
        <v>154</v>
      </c>
      <c r="E46" s="365">
        <f t="shared" si="5"/>
        <v>2.0058300000000005E-2</v>
      </c>
      <c r="F46" s="365">
        <f t="shared" si="27"/>
        <v>2.2323213212544799E-2</v>
      </c>
      <c r="G46" s="365">
        <f t="shared" si="28"/>
        <v>0</v>
      </c>
      <c r="H46" s="365"/>
      <c r="I46" s="370">
        <f t="shared" si="29"/>
        <v>0</v>
      </c>
      <c r="J46" s="327">
        <f t="shared" si="9"/>
        <v>4015966.4652635991</v>
      </c>
      <c r="K46" s="327">
        <v>4015966.4652635991</v>
      </c>
      <c r="L46" s="327"/>
      <c r="M46" s="327"/>
      <c r="N46" s="328"/>
      <c r="O46" s="327">
        <f t="shared" si="22"/>
        <v>2563896</v>
      </c>
      <c r="P46" s="327">
        <v>2563896</v>
      </c>
      <c r="Q46" s="327"/>
      <c r="R46" s="327"/>
      <c r="S46" s="328"/>
      <c r="T46" s="327">
        <f t="shared" si="10"/>
        <v>4079000</v>
      </c>
      <c r="U46" s="193">
        <v>4079000</v>
      </c>
      <c r="V46" s="193"/>
      <c r="W46" s="193"/>
      <c r="X46" s="194"/>
      <c r="Y46" s="327">
        <f t="shared" si="23"/>
        <v>1652120.333136</v>
      </c>
      <c r="Z46" s="327">
        <v>1652120.333136</v>
      </c>
      <c r="AA46" s="327">
        <v>0</v>
      </c>
      <c r="AB46" s="327"/>
      <c r="AC46" s="328"/>
      <c r="AD46" s="327">
        <f t="shared" si="24"/>
        <v>3324521</v>
      </c>
      <c r="AE46" s="327">
        <v>3324521</v>
      </c>
      <c r="AF46" s="327"/>
      <c r="AG46" s="327"/>
      <c r="AH46" s="328"/>
      <c r="AI46" s="193">
        <v>7328912</v>
      </c>
      <c r="AJ46" s="193">
        <f t="shared" si="25"/>
        <v>7328912</v>
      </c>
      <c r="AK46" s="193"/>
      <c r="AL46" s="193"/>
      <c r="AM46" s="194"/>
      <c r="AN46" s="327">
        <f t="shared" si="14"/>
        <v>2370430</v>
      </c>
      <c r="AO46" s="327">
        <v>2370430</v>
      </c>
      <c r="AP46" s="327"/>
      <c r="AQ46" s="327"/>
      <c r="AR46" s="328"/>
      <c r="AS46" s="327">
        <f t="shared" si="15"/>
        <v>3554658</v>
      </c>
      <c r="AT46" s="327">
        <v>3554658</v>
      </c>
      <c r="AU46" s="327">
        <v>0</v>
      </c>
      <c r="AV46" s="327">
        <v>0</v>
      </c>
      <c r="AW46" s="328">
        <v>0</v>
      </c>
      <c r="AX46" s="327">
        <f t="shared" si="26"/>
        <v>10316990424.333395</v>
      </c>
      <c r="AY46" s="327">
        <v>10316990424.333395</v>
      </c>
      <c r="AZ46" s="327"/>
      <c r="BA46" s="327"/>
      <c r="BB46" s="328"/>
      <c r="BC46" s="328"/>
      <c r="BD46" s="182"/>
      <c r="BE46" s="182"/>
      <c r="BF46" s="182"/>
      <c r="BG46" s="182"/>
      <c r="BH46" s="182"/>
      <c r="BI46" s="182"/>
      <c r="BJ46" s="182"/>
      <c r="BK46" s="320">
        <f t="shared" si="30"/>
        <v>4079000</v>
      </c>
      <c r="BL46" s="321"/>
      <c r="BM46" s="320">
        <v>4079000</v>
      </c>
      <c r="BN46" s="321"/>
    </row>
    <row r="47" spans="1:66" s="180" customFormat="1" ht="17.100000000000001" customHeight="1">
      <c r="A47" s="179"/>
      <c r="B47" s="305"/>
      <c r="C47" s="196"/>
      <c r="D47" s="192" t="s">
        <v>155</v>
      </c>
      <c r="E47" s="365">
        <f t="shared" si="5"/>
        <v>8.3214000000000014E-3</v>
      </c>
      <c r="F47" s="365">
        <f t="shared" si="27"/>
        <v>9.2610234380216816E-3</v>
      </c>
      <c r="G47" s="365">
        <f t="shared" si="28"/>
        <v>0</v>
      </c>
      <c r="H47" s="365"/>
      <c r="I47" s="370">
        <f t="shared" si="29"/>
        <v>0</v>
      </c>
      <c r="J47" s="327">
        <f t="shared" si="9"/>
        <v>1666066.5831124526</v>
      </c>
      <c r="K47" s="327">
        <v>1666066.5831124526</v>
      </c>
      <c r="L47" s="327"/>
      <c r="M47" s="327"/>
      <c r="N47" s="328"/>
      <c r="O47" s="327">
        <f t="shared" si="22"/>
        <v>796262</v>
      </c>
      <c r="P47" s="327">
        <v>796262</v>
      </c>
      <c r="Q47" s="327"/>
      <c r="R47" s="327"/>
      <c r="S47" s="328"/>
      <c r="T47" s="327">
        <f t="shared" si="10"/>
        <v>1476000</v>
      </c>
      <c r="U47" s="193">
        <v>1476000</v>
      </c>
      <c r="V47" s="193"/>
      <c r="W47" s="193"/>
      <c r="X47" s="194"/>
      <c r="Y47" s="327">
        <f t="shared" si="23"/>
        <v>685399.76668799995</v>
      </c>
      <c r="Z47" s="327">
        <v>685399.76668799995</v>
      </c>
      <c r="AA47" s="327">
        <v>0</v>
      </c>
      <c r="AB47" s="327"/>
      <c r="AC47" s="328"/>
      <c r="AD47" s="327">
        <f t="shared" si="24"/>
        <v>0</v>
      </c>
      <c r="AE47" s="327">
        <v>0</v>
      </c>
      <c r="AF47" s="327"/>
      <c r="AG47" s="327"/>
      <c r="AH47" s="328"/>
      <c r="AI47" s="193">
        <v>1280516</v>
      </c>
      <c r="AJ47" s="193">
        <f t="shared" si="25"/>
        <v>1280516</v>
      </c>
      <c r="AK47" s="193"/>
      <c r="AL47" s="193"/>
      <c r="AM47" s="194"/>
      <c r="AN47" s="327">
        <f t="shared" si="14"/>
        <v>0</v>
      </c>
      <c r="AO47" s="327">
        <v>0</v>
      </c>
      <c r="AP47" s="327"/>
      <c r="AQ47" s="327"/>
      <c r="AR47" s="328"/>
      <c r="AS47" s="327">
        <f t="shared" si="15"/>
        <v>1385270</v>
      </c>
      <c r="AT47" s="327">
        <v>1385270</v>
      </c>
      <c r="AU47" s="327">
        <v>0</v>
      </c>
      <c r="AV47" s="327">
        <v>0</v>
      </c>
      <c r="AW47" s="328">
        <v>0</v>
      </c>
      <c r="AX47" s="327">
        <f t="shared" si="26"/>
        <v>2797675000</v>
      </c>
      <c r="AY47" s="327">
        <v>2797675000</v>
      </c>
      <c r="AZ47" s="327"/>
      <c r="BA47" s="327"/>
      <c r="BB47" s="328"/>
      <c r="BC47" s="328"/>
      <c r="BD47" s="182"/>
      <c r="BE47" s="182"/>
      <c r="BF47" s="182"/>
      <c r="BG47" s="182"/>
      <c r="BH47" s="182"/>
      <c r="BI47" s="182"/>
      <c r="BJ47" s="182"/>
      <c r="BK47" s="320">
        <f t="shared" si="30"/>
        <v>1476000</v>
      </c>
      <c r="BL47" s="321"/>
      <c r="BM47" s="320">
        <v>1476000</v>
      </c>
      <c r="BN47" s="321"/>
    </row>
    <row r="48" spans="1:66" s="180" customFormat="1" ht="17.100000000000001" customHeight="1">
      <c r="A48" s="179"/>
      <c r="B48" s="305"/>
      <c r="C48" s="196"/>
      <c r="D48" s="192" t="s">
        <v>156</v>
      </c>
      <c r="E48" s="365">
        <f t="shared" si="5"/>
        <v>1.5214500000000002E-2</v>
      </c>
      <c r="F48" s="365">
        <f t="shared" si="27"/>
        <v>1.6932468226233673E-2</v>
      </c>
      <c r="G48" s="365">
        <f t="shared" si="28"/>
        <v>0</v>
      </c>
      <c r="H48" s="365"/>
      <c r="I48" s="370">
        <f t="shared" si="29"/>
        <v>0</v>
      </c>
      <c r="J48" s="327">
        <f t="shared" si="9"/>
        <v>3046166.5138996337</v>
      </c>
      <c r="K48" s="327">
        <v>3046166.5138996337</v>
      </c>
      <c r="L48" s="327"/>
      <c r="M48" s="327"/>
      <c r="N48" s="328"/>
      <c r="O48" s="327">
        <f t="shared" si="22"/>
        <v>1096925</v>
      </c>
      <c r="P48" s="327">
        <v>1096925</v>
      </c>
      <c r="Q48" s="327"/>
      <c r="R48" s="327"/>
      <c r="S48" s="328"/>
      <c r="T48" s="327">
        <f t="shared" si="10"/>
        <v>1728000</v>
      </c>
      <c r="U48" s="193">
        <v>1728000</v>
      </c>
      <c r="V48" s="193"/>
      <c r="W48" s="193"/>
      <c r="X48" s="194"/>
      <c r="Y48" s="327">
        <f t="shared" si="23"/>
        <v>1253156.28984</v>
      </c>
      <c r="Z48" s="327">
        <v>1253156.28984</v>
      </c>
      <c r="AA48" s="327">
        <v>0</v>
      </c>
      <c r="AB48" s="327"/>
      <c r="AC48" s="328"/>
      <c r="AD48" s="327">
        <f t="shared" si="24"/>
        <v>2725569</v>
      </c>
      <c r="AE48" s="327">
        <v>2725569</v>
      </c>
      <c r="AF48" s="327"/>
      <c r="AG48" s="327"/>
      <c r="AH48" s="328"/>
      <c r="AI48" s="193">
        <v>6021150</v>
      </c>
      <c r="AJ48" s="193">
        <f t="shared" si="25"/>
        <v>6021150</v>
      </c>
      <c r="AK48" s="193"/>
      <c r="AL48" s="193"/>
      <c r="AM48" s="194"/>
      <c r="AN48" s="327">
        <f t="shared" si="14"/>
        <v>1943369</v>
      </c>
      <c r="AO48" s="327">
        <v>1943369</v>
      </c>
      <c r="AP48" s="327"/>
      <c r="AQ48" s="327"/>
      <c r="AR48" s="328"/>
      <c r="AS48" s="327">
        <f t="shared" si="15"/>
        <v>1038983</v>
      </c>
      <c r="AT48" s="327">
        <v>1038983</v>
      </c>
      <c r="AU48" s="327">
        <v>0</v>
      </c>
      <c r="AV48" s="327">
        <v>0</v>
      </c>
      <c r="AW48" s="328">
        <v>0</v>
      </c>
      <c r="AX48" s="327">
        <f t="shared" si="26"/>
        <v>5895423099.6190825</v>
      </c>
      <c r="AY48" s="327">
        <v>5895423099.6190825</v>
      </c>
      <c r="AZ48" s="327"/>
      <c r="BA48" s="327"/>
      <c r="BB48" s="328"/>
      <c r="BC48" s="328"/>
      <c r="BD48" s="182"/>
      <c r="BE48" s="182"/>
      <c r="BF48" s="182"/>
      <c r="BG48" s="182"/>
      <c r="BH48" s="182"/>
      <c r="BI48" s="182"/>
      <c r="BJ48" s="182"/>
      <c r="BK48" s="320">
        <f t="shared" si="30"/>
        <v>1728000</v>
      </c>
      <c r="BL48" s="321"/>
      <c r="BM48" s="320">
        <v>1728000</v>
      </c>
      <c r="BN48" s="321"/>
    </row>
    <row r="49" spans="1:66" s="180" customFormat="1" ht="17.100000000000001" customHeight="1">
      <c r="A49" s="179"/>
      <c r="B49" s="305"/>
      <c r="C49" s="196"/>
      <c r="D49" s="192" t="s">
        <v>157</v>
      </c>
      <c r="E49" s="365">
        <f t="shared" si="5"/>
        <v>2.3101199999999999E-2</v>
      </c>
      <c r="F49" s="365">
        <f t="shared" si="27"/>
        <v>2.5709706857791531E-2</v>
      </c>
      <c r="G49" s="365">
        <f t="shared" si="28"/>
        <v>0</v>
      </c>
      <c r="H49" s="365"/>
      <c r="I49" s="370">
        <f t="shared" si="29"/>
        <v>0</v>
      </c>
      <c r="J49" s="327">
        <f t="shared" si="9"/>
        <v>4625199.7680435246</v>
      </c>
      <c r="K49" s="327">
        <v>4625199.7680435246</v>
      </c>
      <c r="L49" s="327"/>
      <c r="M49" s="327"/>
      <c r="N49" s="328"/>
      <c r="O49" s="327">
        <f t="shared" si="22"/>
        <v>2388785</v>
      </c>
      <c r="P49" s="327">
        <v>2388785</v>
      </c>
      <c r="Q49" s="327"/>
      <c r="R49" s="327"/>
      <c r="S49" s="328"/>
      <c r="T49" s="327">
        <f t="shared" si="10"/>
        <v>3777000</v>
      </c>
      <c r="U49" s="193">
        <v>3777000</v>
      </c>
      <c r="V49" s="193"/>
      <c r="W49" s="193"/>
      <c r="X49" s="194"/>
      <c r="Y49" s="327">
        <f t="shared" si="23"/>
        <v>1902751.5911039996</v>
      </c>
      <c r="Z49" s="327">
        <v>1902751.5911039996</v>
      </c>
      <c r="AA49" s="327">
        <v>0</v>
      </c>
      <c r="AB49" s="327"/>
      <c r="AC49" s="328"/>
      <c r="AD49" s="327">
        <f t="shared" si="24"/>
        <v>6796558</v>
      </c>
      <c r="AE49" s="327">
        <v>6796558</v>
      </c>
      <c r="AF49" s="327"/>
      <c r="AG49" s="327"/>
      <c r="AH49" s="328"/>
      <c r="AI49" s="193">
        <v>3214913</v>
      </c>
      <c r="AJ49" s="193">
        <f>AI49-AL49-AM49</f>
        <v>3214913</v>
      </c>
      <c r="AK49" s="193"/>
      <c r="AL49" s="193"/>
      <c r="AM49" s="194"/>
      <c r="AN49" s="327">
        <f t="shared" si="14"/>
        <v>4846041</v>
      </c>
      <c r="AO49" s="327">
        <v>4846041</v>
      </c>
      <c r="AP49" s="327"/>
      <c r="AQ49" s="327"/>
      <c r="AR49" s="328"/>
      <c r="AS49" s="327">
        <f t="shared" si="15"/>
        <v>4046323</v>
      </c>
      <c r="AT49" s="327">
        <v>4046323</v>
      </c>
      <c r="AU49" s="327">
        <v>0</v>
      </c>
      <c r="AV49" s="327">
        <v>0</v>
      </c>
      <c r="AW49" s="328">
        <v>0</v>
      </c>
      <c r="AX49" s="327">
        <f t="shared" si="26"/>
        <v>1678605000</v>
      </c>
      <c r="AY49" s="327">
        <v>1678605000</v>
      </c>
      <c r="AZ49" s="327"/>
      <c r="BA49" s="327"/>
      <c r="BB49" s="328"/>
      <c r="BC49" s="328"/>
      <c r="BD49" s="182"/>
      <c r="BE49" s="182"/>
      <c r="BF49" s="182"/>
      <c r="BG49" s="182"/>
      <c r="BH49" s="182"/>
      <c r="BI49" s="182"/>
      <c r="BJ49" s="182"/>
      <c r="BK49" s="320">
        <f t="shared" si="30"/>
        <v>3777000</v>
      </c>
      <c r="BL49" s="321"/>
      <c r="BM49" s="320">
        <v>3777000</v>
      </c>
      <c r="BN49" s="321"/>
    </row>
    <row r="50" spans="1:66" s="180" customFormat="1" ht="17.100000000000001" customHeight="1">
      <c r="A50" s="179"/>
      <c r="B50" s="305"/>
      <c r="C50" s="196"/>
      <c r="D50" s="197" t="s">
        <v>158</v>
      </c>
      <c r="E50" s="365">
        <f t="shared" si="5"/>
        <v>2.7696600000000005E-2</v>
      </c>
      <c r="F50" s="365">
        <f t="shared" si="27"/>
        <v>3.0824003383266192E-2</v>
      </c>
      <c r="G50" s="365">
        <f t="shared" si="28"/>
        <v>0</v>
      </c>
      <c r="H50" s="365"/>
      <c r="I50" s="370">
        <f t="shared" si="29"/>
        <v>0</v>
      </c>
      <c r="J50" s="327">
        <f t="shared" si="9"/>
        <v>5545266.3885683129</v>
      </c>
      <c r="K50" s="327">
        <v>5545266.3885683129</v>
      </c>
      <c r="L50" s="327"/>
      <c r="M50" s="327"/>
      <c r="N50" s="328"/>
      <c r="O50" s="327">
        <f t="shared" si="22"/>
        <v>6251149</v>
      </c>
      <c r="P50" s="327">
        <v>6251149</v>
      </c>
      <c r="Q50" s="327"/>
      <c r="R50" s="327"/>
      <c r="S50" s="328"/>
      <c r="T50" s="327">
        <f t="shared" si="10"/>
        <v>7167000</v>
      </c>
      <c r="U50" s="193">
        <v>7167000</v>
      </c>
      <c r="V50" s="193"/>
      <c r="W50" s="193"/>
      <c r="X50" s="194"/>
      <c r="Y50" s="327">
        <f t="shared" si="23"/>
        <v>2281255.9398719999</v>
      </c>
      <c r="Z50" s="327">
        <v>2281255.9398719999</v>
      </c>
      <c r="AA50" s="327">
        <v>0</v>
      </c>
      <c r="AB50" s="327"/>
      <c r="AC50" s="328"/>
      <c r="AD50" s="327">
        <f t="shared" si="24"/>
        <v>6893965</v>
      </c>
      <c r="AE50" s="327">
        <v>6893965</v>
      </c>
      <c r="AF50" s="327"/>
      <c r="AG50" s="327"/>
      <c r="AH50" s="328"/>
      <c r="AI50" s="193">
        <v>4985840</v>
      </c>
      <c r="AJ50" s="193">
        <f t="shared" si="25"/>
        <v>4985840</v>
      </c>
      <c r="AK50" s="193"/>
      <c r="AL50" s="193"/>
      <c r="AM50" s="194"/>
      <c r="AN50" s="327">
        <f t="shared" si="14"/>
        <v>4915494</v>
      </c>
      <c r="AO50" s="327">
        <v>4915494</v>
      </c>
      <c r="AP50" s="327"/>
      <c r="AQ50" s="327"/>
      <c r="AR50" s="328"/>
      <c r="AS50" s="327">
        <f t="shared" si="15"/>
        <v>9126900</v>
      </c>
      <c r="AT50" s="327">
        <v>9126900</v>
      </c>
      <c r="AU50" s="327">
        <v>0</v>
      </c>
      <c r="AV50" s="327">
        <v>0</v>
      </c>
      <c r="AW50" s="328">
        <v>0</v>
      </c>
      <c r="AX50" s="327">
        <f t="shared" si="26"/>
        <v>25710595184.449886</v>
      </c>
      <c r="AY50" s="327">
        <v>25710595184.449886</v>
      </c>
      <c r="AZ50" s="327"/>
      <c r="BA50" s="327"/>
      <c r="BB50" s="328"/>
      <c r="BC50" s="328"/>
      <c r="BD50" s="182"/>
      <c r="BE50" s="182"/>
      <c r="BF50" s="182"/>
      <c r="BG50" s="182"/>
      <c r="BH50" s="182"/>
      <c r="BI50" s="182"/>
      <c r="BJ50" s="182"/>
      <c r="BK50" s="320">
        <f t="shared" si="30"/>
        <v>7167000</v>
      </c>
      <c r="BL50" s="321"/>
      <c r="BM50" s="320">
        <v>7167000</v>
      </c>
      <c r="BN50" s="321"/>
    </row>
    <row r="51" spans="1:66" s="180" customFormat="1" ht="17.100000000000001" customHeight="1">
      <c r="A51" s="179"/>
      <c r="B51" s="305"/>
      <c r="C51" s="196"/>
      <c r="D51" s="192" t="s">
        <v>159</v>
      </c>
      <c r="E51" s="365">
        <f t="shared" si="5"/>
        <v>6.2721000000000001E-3</v>
      </c>
      <c r="F51" s="365">
        <f t="shared" si="27"/>
        <v>6.9803236361208184E-3</v>
      </c>
      <c r="G51" s="365">
        <f t="shared" si="28"/>
        <v>0</v>
      </c>
      <c r="H51" s="365"/>
      <c r="I51" s="370">
        <f t="shared" si="29"/>
        <v>0</v>
      </c>
      <c r="J51" s="327">
        <f t="shared" si="9"/>
        <v>1255766.6036892366</v>
      </c>
      <c r="K51" s="327">
        <v>1255766.6036892366</v>
      </c>
      <c r="L51" s="327"/>
      <c r="M51" s="327"/>
      <c r="N51" s="328"/>
      <c r="O51" s="327">
        <f t="shared" si="22"/>
        <v>2574469</v>
      </c>
      <c r="P51" s="327">
        <v>2574469</v>
      </c>
      <c r="Q51" s="327"/>
      <c r="R51" s="327"/>
      <c r="S51" s="328"/>
      <c r="T51" s="327">
        <f t="shared" si="10"/>
        <v>1579000</v>
      </c>
      <c r="U51" s="193">
        <v>1579000</v>
      </c>
      <c r="V51" s="193"/>
      <c r="W51" s="193"/>
      <c r="X51" s="194"/>
      <c r="Y51" s="327">
        <f t="shared" si="23"/>
        <v>516607.2868319999</v>
      </c>
      <c r="Z51" s="327">
        <v>516607.2868319999</v>
      </c>
      <c r="AA51" s="327">
        <v>0</v>
      </c>
      <c r="AB51" s="327"/>
      <c r="AC51" s="328"/>
      <c r="AD51" s="327">
        <f t="shared" si="24"/>
        <v>1226252</v>
      </c>
      <c r="AE51" s="327">
        <v>1226252</v>
      </c>
      <c r="AF51" s="327"/>
      <c r="AG51" s="327"/>
      <c r="AH51" s="328"/>
      <c r="AI51" s="193">
        <v>2724502</v>
      </c>
      <c r="AJ51" s="193">
        <f t="shared" si="25"/>
        <v>2724502</v>
      </c>
      <c r="AK51" s="193"/>
      <c r="AL51" s="193"/>
      <c r="AM51" s="194"/>
      <c r="AN51" s="327">
        <f t="shared" si="14"/>
        <v>874334</v>
      </c>
      <c r="AO51" s="327">
        <v>874334</v>
      </c>
      <c r="AP51" s="327"/>
      <c r="AQ51" s="327"/>
      <c r="AR51" s="328"/>
      <c r="AS51" s="327">
        <f t="shared" si="15"/>
        <v>4257903</v>
      </c>
      <c r="AT51" s="327">
        <v>4257903</v>
      </c>
      <c r="AU51" s="327">
        <v>0</v>
      </c>
      <c r="AV51" s="327">
        <v>0</v>
      </c>
      <c r="AW51" s="328">
        <v>0</v>
      </c>
      <c r="AX51" s="327">
        <f t="shared" si="26"/>
        <v>5404137841.3174925</v>
      </c>
      <c r="AY51" s="327">
        <v>5404137841.3174925</v>
      </c>
      <c r="AZ51" s="327"/>
      <c r="BA51" s="327"/>
      <c r="BB51" s="328"/>
      <c r="BC51" s="328"/>
      <c r="BD51" s="182"/>
      <c r="BE51" s="182"/>
      <c r="BF51" s="182"/>
      <c r="BG51" s="182"/>
      <c r="BH51" s="182"/>
      <c r="BI51" s="182"/>
      <c r="BJ51" s="182"/>
      <c r="BK51" s="320">
        <f t="shared" si="30"/>
        <v>1579000</v>
      </c>
      <c r="BL51" s="321"/>
      <c r="BM51" s="320">
        <v>1579000</v>
      </c>
      <c r="BN51" s="321"/>
    </row>
    <row r="52" spans="1:66" ht="17.100000000000001" customHeight="1">
      <c r="B52" s="305"/>
      <c r="C52" s="196"/>
      <c r="D52" s="192" t="s">
        <v>160</v>
      </c>
      <c r="E52" s="365">
        <f t="shared" si="5"/>
        <v>5.1543000000000005E-3</v>
      </c>
      <c r="F52" s="365">
        <f t="shared" si="27"/>
        <v>5.736305562356713E-3</v>
      </c>
      <c r="G52" s="365">
        <f t="shared" si="28"/>
        <v>0</v>
      </c>
      <c r="H52" s="365"/>
      <c r="I52" s="370">
        <f t="shared" si="29"/>
        <v>0</v>
      </c>
      <c r="J52" s="327">
        <f t="shared" si="9"/>
        <v>1031966.614912937</v>
      </c>
      <c r="K52" s="327">
        <v>1031966.614912937</v>
      </c>
      <c r="L52" s="327"/>
      <c r="M52" s="327"/>
      <c r="N52" s="328"/>
      <c r="O52" s="327">
        <f t="shared" si="22"/>
        <v>237887</v>
      </c>
      <c r="P52" s="327">
        <v>237887</v>
      </c>
      <c r="Q52" s="327"/>
      <c r="R52" s="327"/>
      <c r="S52" s="328"/>
      <c r="T52" s="327">
        <f t="shared" si="10"/>
        <v>689000</v>
      </c>
      <c r="U52" s="193">
        <v>689000</v>
      </c>
      <c r="V52" s="193"/>
      <c r="W52" s="193"/>
      <c r="X52" s="194"/>
      <c r="Y52" s="327">
        <f t="shared" si="23"/>
        <v>424538.66145599994</v>
      </c>
      <c r="Z52" s="327">
        <v>424538.66145599994</v>
      </c>
      <c r="AA52" s="327">
        <v>0</v>
      </c>
      <c r="AB52" s="327"/>
      <c r="AC52" s="328"/>
      <c r="AD52" s="327">
        <f t="shared" si="24"/>
        <v>199094</v>
      </c>
      <c r="AE52" s="327">
        <v>199094</v>
      </c>
      <c r="AF52" s="327"/>
      <c r="AG52" s="327"/>
      <c r="AH52" s="328"/>
      <c r="AI52" s="193">
        <v>2370317</v>
      </c>
      <c r="AJ52" s="193">
        <f t="shared" si="25"/>
        <v>2370317</v>
      </c>
      <c r="AK52" s="193"/>
      <c r="AL52" s="193"/>
      <c r="AM52" s="194"/>
      <c r="AN52" s="327">
        <f t="shared" si="14"/>
        <v>141956</v>
      </c>
      <c r="AO52" s="327">
        <v>141956</v>
      </c>
      <c r="AP52" s="327"/>
      <c r="AQ52" s="327"/>
      <c r="AR52" s="328"/>
      <c r="AS52" s="327">
        <f t="shared" si="15"/>
        <v>774054</v>
      </c>
      <c r="AT52" s="327">
        <v>774054</v>
      </c>
      <c r="AU52" s="327">
        <v>0</v>
      </c>
      <c r="AV52" s="327">
        <v>0</v>
      </c>
      <c r="AW52" s="328">
        <v>0</v>
      </c>
      <c r="AX52" s="327">
        <f t="shared" si="26"/>
        <v>1678605000</v>
      </c>
      <c r="AY52" s="327">
        <v>1678605000</v>
      </c>
      <c r="AZ52" s="327"/>
      <c r="BA52" s="327"/>
      <c r="BB52" s="328"/>
      <c r="BC52" s="328"/>
      <c r="BD52" s="182"/>
      <c r="BE52" s="182"/>
      <c r="BF52" s="182"/>
      <c r="BG52" s="182"/>
      <c r="BH52" s="182"/>
      <c r="BI52" s="182"/>
      <c r="BJ52" s="182"/>
      <c r="BK52" s="320">
        <f t="shared" si="30"/>
        <v>689000</v>
      </c>
      <c r="BL52" s="321"/>
      <c r="BM52" s="320">
        <v>689000</v>
      </c>
      <c r="BN52" s="321"/>
    </row>
    <row r="53" spans="1:66" ht="17.100000000000001" customHeight="1">
      <c r="B53" s="305"/>
      <c r="C53" s="196"/>
      <c r="D53" s="192" t="s">
        <v>161</v>
      </c>
      <c r="E53" s="365">
        <f t="shared" si="5"/>
        <v>6.1168500000000001E-2</v>
      </c>
      <c r="F53" s="365">
        <f t="shared" si="27"/>
        <v>6.807543348098026E-2</v>
      </c>
      <c r="G53" s="365">
        <f t="shared" si="28"/>
        <v>0</v>
      </c>
      <c r="H53" s="365"/>
      <c r="I53" s="370">
        <f t="shared" si="29"/>
        <v>0</v>
      </c>
      <c r="J53" s="327">
        <f t="shared" si="9"/>
        <v>12246832.719147505</v>
      </c>
      <c r="K53" s="327">
        <v>12246832.719147505</v>
      </c>
      <c r="L53" s="327"/>
      <c r="M53" s="327"/>
      <c r="N53" s="328"/>
      <c r="O53" s="327">
        <f t="shared" si="22"/>
        <v>4070516</v>
      </c>
      <c r="P53" s="327">
        <v>4070516</v>
      </c>
      <c r="Q53" s="327"/>
      <c r="R53" s="327"/>
      <c r="S53" s="328"/>
      <c r="T53" s="327">
        <f t="shared" si="10"/>
        <v>7531000</v>
      </c>
      <c r="U53" s="193">
        <v>7531000</v>
      </c>
      <c r="V53" s="193"/>
      <c r="W53" s="193"/>
      <c r="X53" s="194"/>
      <c r="Y53" s="327">
        <f t="shared" si="23"/>
        <v>5038199.7775199991</v>
      </c>
      <c r="Z53" s="327">
        <v>5038199.7775199991</v>
      </c>
      <c r="AA53" s="327">
        <v>0</v>
      </c>
      <c r="AB53" s="327"/>
      <c r="AC53" s="328"/>
      <c r="AD53" s="327">
        <f t="shared" si="24"/>
        <v>8507433</v>
      </c>
      <c r="AE53" s="327">
        <v>8507433</v>
      </c>
      <c r="AF53" s="327"/>
      <c r="AG53" s="327"/>
      <c r="AH53" s="328"/>
      <c r="AI53" s="193">
        <v>9862699</v>
      </c>
      <c r="AJ53" s="193">
        <f t="shared" si="25"/>
        <v>9862699</v>
      </c>
      <c r="AK53" s="193"/>
      <c r="AL53" s="193"/>
      <c r="AM53" s="194"/>
      <c r="AN53" s="327">
        <f t="shared" si="14"/>
        <v>6065919</v>
      </c>
      <c r="AO53" s="327">
        <v>6065919</v>
      </c>
      <c r="AP53" s="327"/>
      <c r="AQ53" s="327"/>
      <c r="AR53" s="328"/>
      <c r="AS53" s="327">
        <f t="shared" si="15"/>
        <v>5115255</v>
      </c>
      <c r="AT53" s="327">
        <v>5115255</v>
      </c>
      <c r="AU53" s="327">
        <v>0</v>
      </c>
      <c r="AV53" s="327">
        <v>0</v>
      </c>
      <c r="AW53" s="328">
        <v>0</v>
      </c>
      <c r="AX53" s="327">
        <f t="shared" si="26"/>
        <v>20197282841.287598</v>
      </c>
      <c r="AY53" s="327">
        <v>20197282841.287598</v>
      </c>
      <c r="AZ53" s="327"/>
      <c r="BA53" s="327"/>
      <c r="BB53" s="328"/>
      <c r="BC53" s="328"/>
      <c r="BD53" s="182"/>
      <c r="BE53" s="182"/>
      <c r="BF53" s="182"/>
      <c r="BG53" s="182"/>
      <c r="BH53" s="182"/>
      <c r="BI53" s="182"/>
      <c r="BJ53" s="182"/>
      <c r="BK53" s="320">
        <f t="shared" si="30"/>
        <v>7531000</v>
      </c>
      <c r="BL53" s="321"/>
      <c r="BM53" s="320">
        <v>7531000</v>
      </c>
      <c r="BN53" s="321"/>
    </row>
    <row r="54" spans="1:66" ht="17.100000000000001" customHeight="1">
      <c r="B54" s="305"/>
      <c r="C54" s="202"/>
      <c r="D54" s="197" t="s">
        <v>162</v>
      </c>
      <c r="E54" s="365">
        <f t="shared" si="5"/>
        <v>1.2420000000000002E-2</v>
      </c>
      <c r="F54" s="365">
        <f t="shared" si="27"/>
        <v>1.3822423041823404E-2</v>
      </c>
      <c r="G54" s="365">
        <f t="shared" si="28"/>
        <v>0</v>
      </c>
      <c r="H54" s="365"/>
      <c r="I54" s="370">
        <f t="shared" si="29"/>
        <v>0</v>
      </c>
      <c r="J54" s="327">
        <f t="shared" si="9"/>
        <v>2486666.5419588848</v>
      </c>
      <c r="K54" s="327">
        <v>2486666.5419588848</v>
      </c>
      <c r="L54" s="327"/>
      <c r="M54" s="327"/>
      <c r="N54" s="328"/>
      <c r="O54" s="327">
        <f t="shared" si="22"/>
        <v>1123357</v>
      </c>
      <c r="P54" s="327">
        <v>1123357</v>
      </c>
      <c r="Q54" s="327"/>
      <c r="R54" s="327"/>
      <c r="S54" s="328"/>
      <c r="T54" s="327">
        <f t="shared" si="10"/>
        <v>1393000</v>
      </c>
      <c r="U54" s="193">
        <v>1393000</v>
      </c>
      <c r="V54" s="193"/>
      <c r="W54" s="193"/>
      <c r="X54" s="194"/>
      <c r="Y54" s="327">
        <f t="shared" si="23"/>
        <v>1022984.7263999999</v>
      </c>
      <c r="Z54" s="327">
        <v>1022984.7263999999</v>
      </c>
      <c r="AA54" s="327">
        <v>0</v>
      </c>
      <c r="AB54" s="327"/>
      <c r="AC54" s="328"/>
      <c r="AD54" s="327">
        <f t="shared" si="24"/>
        <v>1565919</v>
      </c>
      <c r="AE54" s="327">
        <v>1565919</v>
      </c>
      <c r="AF54" s="327"/>
      <c r="AG54" s="327"/>
      <c r="AH54" s="328"/>
      <c r="AI54" s="193">
        <v>3460118</v>
      </c>
      <c r="AJ54" s="193">
        <f t="shared" si="25"/>
        <v>3460118</v>
      </c>
      <c r="AK54" s="193"/>
      <c r="AL54" s="193"/>
      <c r="AM54" s="194"/>
      <c r="AN54" s="327">
        <f t="shared" si="14"/>
        <v>1116522</v>
      </c>
      <c r="AO54" s="327">
        <v>1116522</v>
      </c>
      <c r="AP54" s="327"/>
      <c r="AQ54" s="327"/>
      <c r="AR54" s="328"/>
      <c r="AS54" s="327">
        <f t="shared" si="15"/>
        <v>1143015</v>
      </c>
      <c r="AT54" s="327">
        <v>1143015</v>
      </c>
      <c r="AU54" s="327">
        <v>0</v>
      </c>
      <c r="AV54" s="327">
        <v>0</v>
      </c>
      <c r="AW54" s="328">
        <v>0</v>
      </c>
      <c r="AX54" s="327">
        <f t="shared" si="26"/>
        <v>5840835848.6966829</v>
      </c>
      <c r="AY54" s="327">
        <v>5840835848.6966829</v>
      </c>
      <c r="AZ54" s="327"/>
      <c r="BA54" s="327"/>
      <c r="BB54" s="328"/>
      <c r="BC54" s="328"/>
      <c r="BD54" s="182"/>
      <c r="BE54" s="182"/>
      <c r="BF54" s="182"/>
      <c r="BG54" s="182"/>
      <c r="BH54" s="182"/>
      <c r="BI54" s="182"/>
      <c r="BJ54" s="182"/>
      <c r="BK54" s="320">
        <f t="shared" si="30"/>
        <v>1393000</v>
      </c>
      <c r="BL54" s="321"/>
      <c r="BM54" s="320">
        <v>1393000</v>
      </c>
      <c r="BN54" s="321"/>
    </row>
    <row r="55" spans="1:66" ht="17.100000000000001" customHeight="1">
      <c r="B55" s="305"/>
      <c r="C55" s="202"/>
      <c r="D55" s="197" t="s">
        <v>163</v>
      </c>
      <c r="E55" s="365">
        <f t="shared" si="5"/>
        <v>2.2293900000000002E-2</v>
      </c>
      <c r="F55" s="365">
        <f t="shared" si="27"/>
        <v>2.4811249360073014E-2</v>
      </c>
      <c r="G55" s="365">
        <f t="shared" si="28"/>
        <v>0</v>
      </c>
      <c r="H55" s="365"/>
      <c r="I55" s="370">
        <f t="shared" si="29"/>
        <v>0</v>
      </c>
      <c r="J55" s="327">
        <f t="shared" si="9"/>
        <v>4463566.4428161979</v>
      </c>
      <c r="K55" s="327">
        <v>4463566.4428161979</v>
      </c>
      <c r="L55" s="327"/>
      <c r="M55" s="327"/>
      <c r="N55" s="328"/>
      <c r="O55" s="327">
        <f t="shared" si="22"/>
        <v>2326009</v>
      </c>
      <c r="P55" s="327">
        <v>2326009</v>
      </c>
      <c r="Q55" s="327"/>
      <c r="R55" s="327"/>
      <c r="S55" s="328"/>
      <c r="T55" s="327">
        <f t="shared" si="10"/>
        <v>2553000</v>
      </c>
      <c r="U55" s="193">
        <v>2553000</v>
      </c>
      <c r="V55" s="193"/>
      <c r="W55" s="193"/>
      <c r="X55" s="194"/>
      <c r="Y55" s="327">
        <f t="shared" si="23"/>
        <v>1836257.5838879999</v>
      </c>
      <c r="Z55" s="327">
        <v>1836257.5838879999</v>
      </c>
      <c r="AA55" s="327">
        <v>0</v>
      </c>
      <c r="AB55" s="327"/>
      <c r="AC55" s="328"/>
      <c r="AD55" s="327">
        <f t="shared" si="24"/>
        <v>3849712</v>
      </c>
      <c r="AE55" s="327">
        <v>3849712</v>
      </c>
      <c r="AF55" s="327"/>
      <c r="AG55" s="327"/>
      <c r="AH55" s="328"/>
      <c r="AI55" s="193">
        <v>4386449</v>
      </c>
      <c r="AJ55" s="193">
        <f t="shared" si="25"/>
        <v>4386449</v>
      </c>
      <c r="AK55" s="193"/>
      <c r="AL55" s="193"/>
      <c r="AM55" s="194"/>
      <c r="AN55" s="327">
        <f t="shared" si="14"/>
        <v>2744898</v>
      </c>
      <c r="AO55" s="327">
        <v>2744898</v>
      </c>
      <c r="AP55" s="327"/>
      <c r="AQ55" s="327"/>
      <c r="AR55" s="328"/>
      <c r="AS55" s="327">
        <f t="shared" si="15"/>
        <v>3043957</v>
      </c>
      <c r="AT55" s="327">
        <v>3043957</v>
      </c>
      <c r="AU55" s="327">
        <v>0</v>
      </c>
      <c r="AV55" s="327">
        <v>0</v>
      </c>
      <c r="AW55" s="328">
        <v>0</v>
      </c>
      <c r="AX55" s="327">
        <f t="shared" si="26"/>
        <v>11954607952.005362</v>
      </c>
      <c r="AY55" s="327">
        <v>11954607952.005362</v>
      </c>
      <c r="AZ55" s="327"/>
      <c r="BA55" s="327"/>
      <c r="BB55" s="328"/>
      <c r="BC55" s="328"/>
      <c r="BD55" s="182"/>
      <c r="BE55" s="182"/>
      <c r="BF55" s="182"/>
      <c r="BG55" s="182"/>
      <c r="BH55" s="182"/>
      <c r="BI55" s="182"/>
      <c r="BJ55" s="182"/>
      <c r="BK55" s="320">
        <f t="shared" si="30"/>
        <v>2553000</v>
      </c>
      <c r="BL55" s="321"/>
      <c r="BM55" s="320">
        <v>2553000</v>
      </c>
      <c r="BN55" s="321"/>
    </row>
    <row r="56" spans="1:66" ht="17.100000000000001" customHeight="1">
      <c r="B56" s="305"/>
      <c r="C56" s="202"/>
      <c r="D56" s="197" t="s">
        <v>164</v>
      </c>
      <c r="E56" s="365">
        <f t="shared" si="5"/>
        <v>1.0557000000000002E-2</v>
      </c>
      <c r="F56" s="365">
        <f t="shared" si="27"/>
        <v>1.1749059585549894E-2</v>
      </c>
      <c r="G56" s="365">
        <f t="shared" si="28"/>
        <v>0</v>
      </c>
      <c r="H56" s="365"/>
      <c r="I56" s="370">
        <f t="shared" si="29"/>
        <v>0</v>
      </c>
      <c r="J56" s="327">
        <f t="shared" si="9"/>
        <v>2113666.5606650519</v>
      </c>
      <c r="K56" s="327">
        <v>2113666.5606650519</v>
      </c>
      <c r="L56" s="327"/>
      <c r="M56" s="327"/>
      <c r="N56" s="328"/>
      <c r="O56" s="327">
        <f t="shared" si="22"/>
        <v>2881079</v>
      </c>
      <c r="P56" s="327">
        <v>2881079</v>
      </c>
      <c r="Q56" s="327"/>
      <c r="R56" s="327"/>
      <c r="S56" s="328"/>
      <c r="T56" s="327">
        <f t="shared" si="10"/>
        <v>1825000</v>
      </c>
      <c r="U56" s="193">
        <v>1825000</v>
      </c>
      <c r="V56" s="193"/>
      <c r="W56" s="193"/>
      <c r="X56" s="194"/>
      <c r="Y56" s="327">
        <f t="shared" si="23"/>
        <v>869537.01743999997</v>
      </c>
      <c r="Z56" s="327">
        <v>869537.01743999997</v>
      </c>
      <c r="AA56" s="327">
        <v>0</v>
      </c>
      <c r="AB56" s="327"/>
      <c r="AC56" s="328"/>
      <c r="AD56" s="327">
        <f t="shared" si="24"/>
        <v>339033</v>
      </c>
      <c r="AE56" s="327">
        <v>339033</v>
      </c>
      <c r="AF56" s="327"/>
      <c r="AG56" s="327"/>
      <c r="AH56" s="328"/>
      <c r="AI56" s="193">
        <v>2506542</v>
      </c>
      <c r="AJ56" s="193">
        <f t="shared" si="25"/>
        <v>2506542</v>
      </c>
      <c r="AK56" s="193"/>
      <c r="AL56" s="193"/>
      <c r="AM56" s="194"/>
      <c r="AN56" s="327">
        <f t="shared" si="14"/>
        <v>241735</v>
      </c>
      <c r="AO56" s="327">
        <v>241735</v>
      </c>
      <c r="AP56" s="327"/>
      <c r="AQ56" s="327"/>
      <c r="AR56" s="328"/>
      <c r="AS56" s="327">
        <f t="shared" si="15"/>
        <v>10166247</v>
      </c>
      <c r="AT56" s="327">
        <v>10166247</v>
      </c>
      <c r="AU56" s="327">
        <v>0</v>
      </c>
      <c r="AV56" s="327">
        <v>0</v>
      </c>
      <c r="AW56" s="328">
        <v>0</v>
      </c>
      <c r="AX56" s="327">
        <f t="shared" si="26"/>
        <v>11408735442.78137</v>
      </c>
      <c r="AY56" s="327">
        <v>11408735442.78137</v>
      </c>
      <c r="AZ56" s="327"/>
      <c r="BA56" s="327"/>
      <c r="BB56" s="328"/>
      <c r="BC56" s="328"/>
      <c r="BD56" s="182"/>
      <c r="BE56" s="182"/>
      <c r="BF56" s="182"/>
      <c r="BG56" s="182"/>
      <c r="BH56" s="182"/>
      <c r="BI56" s="182"/>
      <c r="BJ56" s="182"/>
      <c r="BK56" s="320">
        <f t="shared" si="30"/>
        <v>1825000</v>
      </c>
      <c r="BL56" s="321"/>
      <c r="BM56" s="320">
        <v>1825000</v>
      </c>
      <c r="BN56" s="321"/>
    </row>
    <row r="57" spans="1:66" ht="17.100000000000001" customHeight="1">
      <c r="B57" s="305"/>
      <c r="C57" s="196"/>
      <c r="D57" s="197" t="s">
        <v>165</v>
      </c>
      <c r="E57" s="365">
        <f t="shared" si="5"/>
        <v>6.9551999999999999E-3</v>
      </c>
      <c r="F57" s="365">
        <f t="shared" si="27"/>
        <v>7.7405569034211062E-3</v>
      </c>
      <c r="G57" s="365">
        <f t="shared" si="28"/>
        <v>0</v>
      </c>
      <c r="H57" s="365"/>
      <c r="I57" s="370">
        <f t="shared" si="29"/>
        <v>0</v>
      </c>
      <c r="J57" s="327">
        <f t="shared" si="9"/>
        <v>1392533.2634969752</v>
      </c>
      <c r="K57" s="327">
        <v>1392533.2634969752</v>
      </c>
      <c r="L57" s="327"/>
      <c r="M57" s="327"/>
      <c r="N57" s="328"/>
      <c r="O57" s="327">
        <f t="shared" si="22"/>
        <v>1429967</v>
      </c>
      <c r="P57" s="327">
        <v>1429967</v>
      </c>
      <c r="Q57" s="327"/>
      <c r="R57" s="327"/>
      <c r="S57" s="328"/>
      <c r="T57" s="327">
        <f t="shared" si="10"/>
        <v>1361000</v>
      </c>
      <c r="U57" s="193">
        <v>1361000</v>
      </c>
      <c r="V57" s="193"/>
      <c r="W57" s="193"/>
      <c r="X57" s="194"/>
      <c r="Y57" s="327">
        <f t="shared" si="23"/>
        <v>572871.44678399991</v>
      </c>
      <c r="Z57" s="327">
        <v>572871.44678399991</v>
      </c>
      <c r="AA57" s="327">
        <v>0</v>
      </c>
      <c r="AB57" s="327"/>
      <c r="AC57" s="328"/>
      <c r="AD57" s="327">
        <f t="shared" si="24"/>
        <v>1801681</v>
      </c>
      <c r="AE57" s="327">
        <v>1801681</v>
      </c>
      <c r="AF57" s="327"/>
      <c r="AG57" s="327"/>
      <c r="AH57" s="328"/>
      <c r="AI57" s="193">
        <v>2615522</v>
      </c>
      <c r="AJ57" s="193">
        <f>AI57-AL57-AM57</f>
        <v>2615522</v>
      </c>
      <c r="AK57" s="193"/>
      <c r="AL57" s="193"/>
      <c r="AM57" s="194"/>
      <c r="AN57" s="327">
        <f t="shared" si="14"/>
        <v>1284623</v>
      </c>
      <c r="AO57" s="327">
        <v>1284623</v>
      </c>
      <c r="AP57" s="327"/>
      <c r="AQ57" s="327"/>
      <c r="AR57" s="328"/>
      <c r="AS57" s="327">
        <f t="shared" si="15"/>
        <v>1475237</v>
      </c>
      <c r="AT57" s="327">
        <v>1475237</v>
      </c>
      <c r="AU57" s="327">
        <v>0</v>
      </c>
      <c r="AV57" s="327">
        <v>0</v>
      </c>
      <c r="AW57" s="328">
        <v>0</v>
      </c>
      <c r="AX57" s="327">
        <f t="shared" si="26"/>
        <v>3766520313.645525</v>
      </c>
      <c r="AY57" s="327">
        <v>3766520313.645525</v>
      </c>
      <c r="AZ57" s="327"/>
      <c r="BA57" s="327"/>
      <c r="BB57" s="328"/>
      <c r="BC57" s="328"/>
      <c r="BD57" s="182"/>
      <c r="BE57" s="182"/>
      <c r="BF57" s="182"/>
      <c r="BG57" s="182"/>
      <c r="BH57" s="182"/>
      <c r="BI57" s="182"/>
      <c r="BJ57" s="182"/>
      <c r="BK57" s="320">
        <f t="shared" si="30"/>
        <v>1361000</v>
      </c>
      <c r="BL57" s="321"/>
      <c r="BM57" s="320">
        <v>1361000</v>
      </c>
      <c r="BN57" s="321"/>
    </row>
    <row r="58" spans="1:66" ht="17.100000000000001" customHeight="1">
      <c r="B58" s="305"/>
      <c r="C58" s="196"/>
      <c r="D58" s="197" t="s">
        <v>166</v>
      </c>
      <c r="E58" s="365">
        <f t="shared" si="5"/>
        <v>8.3214000000000014E-3</v>
      </c>
      <c r="F58" s="365">
        <f t="shared" si="27"/>
        <v>9.2610234380216816E-3</v>
      </c>
      <c r="G58" s="365">
        <f t="shared" si="28"/>
        <v>0</v>
      </c>
      <c r="H58" s="365"/>
      <c r="I58" s="370">
        <f t="shared" si="29"/>
        <v>0</v>
      </c>
      <c r="J58" s="327">
        <f t="shared" si="9"/>
        <v>1666066.5831124526</v>
      </c>
      <c r="K58" s="327">
        <v>1666066.5831124526</v>
      </c>
      <c r="L58" s="327"/>
      <c r="M58" s="327"/>
      <c r="N58" s="328"/>
      <c r="O58" s="327">
        <f t="shared" si="22"/>
        <v>1044061</v>
      </c>
      <c r="P58" s="327">
        <v>1044061</v>
      </c>
      <c r="Q58" s="327"/>
      <c r="R58" s="327"/>
      <c r="S58" s="328"/>
      <c r="T58" s="327">
        <f t="shared" si="10"/>
        <v>1257000</v>
      </c>
      <c r="U58" s="193">
        <v>1257000</v>
      </c>
      <c r="V58" s="193"/>
      <c r="W58" s="193"/>
      <c r="X58" s="194"/>
      <c r="Y58" s="327">
        <f t="shared" si="23"/>
        <v>685399.76668799995</v>
      </c>
      <c r="Z58" s="327">
        <v>685399.76668799995</v>
      </c>
      <c r="AA58" s="327">
        <v>0</v>
      </c>
      <c r="AB58" s="327"/>
      <c r="AC58" s="328"/>
      <c r="AD58" s="327">
        <f t="shared" si="24"/>
        <v>1619026</v>
      </c>
      <c r="AE58" s="327">
        <v>1619026</v>
      </c>
      <c r="AF58" s="327"/>
      <c r="AG58" s="327"/>
      <c r="AH58" s="328"/>
      <c r="AI58" s="193">
        <v>2016132</v>
      </c>
      <c r="AJ58" s="193">
        <f t="shared" si="25"/>
        <v>2016132</v>
      </c>
      <c r="AK58" s="193"/>
      <c r="AL58" s="193"/>
      <c r="AM58" s="194"/>
      <c r="AN58" s="327">
        <f t="shared" si="14"/>
        <v>1154388</v>
      </c>
      <c r="AO58" s="327">
        <v>1154388</v>
      </c>
      <c r="AP58" s="327"/>
      <c r="AQ58" s="327"/>
      <c r="AR58" s="328"/>
      <c r="AS58" s="327">
        <f t="shared" si="15"/>
        <v>954351</v>
      </c>
      <c r="AT58" s="327">
        <v>954351</v>
      </c>
      <c r="AU58" s="327">
        <v>0</v>
      </c>
      <c r="AV58" s="327">
        <v>0</v>
      </c>
      <c r="AW58" s="328">
        <v>0</v>
      </c>
      <c r="AX58" s="327">
        <f t="shared" si="26"/>
        <v>9716530664.187006</v>
      </c>
      <c r="AY58" s="327">
        <v>9716530664.187006</v>
      </c>
      <c r="AZ58" s="327"/>
      <c r="BA58" s="327"/>
      <c r="BB58" s="328"/>
      <c r="BC58" s="328"/>
      <c r="BD58" s="182"/>
      <c r="BE58" s="182"/>
      <c r="BF58" s="182"/>
      <c r="BG58" s="182"/>
      <c r="BH58" s="182"/>
      <c r="BI58" s="182"/>
      <c r="BJ58" s="182"/>
      <c r="BK58" s="320">
        <f t="shared" si="30"/>
        <v>1257000</v>
      </c>
      <c r="BL58" s="321"/>
      <c r="BM58" s="320">
        <v>1257000</v>
      </c>
      <c r="BN58" s="321"/>
    </row>
    <row r="59" spans="1:66" ht="17.100000000000001" customHeight="1">
      <c r="B59" s="305"/>
      <c r="C59" s="196"/>
      <c r="D59" s="192" t="s">
        <v>167</v>
      </c>
      <c r="E59" s="365">
        <f t="shared" si="5"/>
        <v>1.1053800000000001E-2</v>
      </c>
      <c r="F59" s="365">
        <f t="shared" si="27"/>
        <v>1.2301956507222829E-2</v>
      </c>
      <c r="G59" s="365">
        <f t="shared" si="28"/>
        <v>0</v>
      </c>
      <c r="H59" s="365"/>
      <c r="I59" s="370">
        <f t="shared" si="29"/>
        <v>0</v>
      </c>
      <c r="J59" s="327">
        <f t="shared" si="9"/>
        <v>2213133.2223434071</v>
      </c>
      <c r="K59" s="327">
        <v>2213133.2223434071</v>
      </c>
      <c r="L59" s="327"/>
      <c r="M59" s="327"/>
      <c r="N59" s="328"/>
      <c r="O59" s="327">
        <f t="shared" si="22"/>
        <v>2629976</v>
      </c>
      <c r="P59" s="327">
        <v>2629976</v>
      </c>
      <c r="Q59" s="327"/>
      <c r="R59" s="327"/>
      <c r="S59" s="328"/>
      <c r="T59" s="327">
        <f t="shared" si="10"/>
        <v>2725000</v>
      </c>
      <c r="U59" s="193">
        <v>2725000</v>
      </c>
      <c r="V59" s="193"/>
      <c r="W59" s="193"/>
      <c r="X59" s="194"/>
      <c r="Y59" s="327">
        <f t="shared" si="23"/>
        <v>910456.40649599989</v>
      </c>
      <c r="Z59" s="327">
        <v>910456.40649599989</v>
      </c>
      <c r="AA59" s="327">
        <v>0</v>
      </c>
      <c r="AB59" s="327"/>
      <c r="AC59" s="328"/>
      <c r="AD59" s="327">
        <f t="shared" si="24"/>
        <v>2878268</v>
      </c>
      <c r="AE59" s="327">
        <v>2878268</v>
      </c>
      <c r="AF59" s="327"/>
      <c r="AG59" s="327"/>
      <c r="AH59" s="328"/>
      <c r="AI59" s="193">
        <v>3514608</v>
      </c>
      <c r="AJ59" s="193">
        <f t="shared" si="25"/>
        <v>3514608</v>
      </c>
      <c r="AK59" s="193"/>
      <c r="AL59" s="193"/>
      <c r="AM59" s="194"/>
      <c r="AN59" s="327">
        <f t="shared" si="14"/>
        <v>2052245</v>
      </c>
      <c r="AO59" s="327">
        <v>2052245</v>
      </c>
      <c r="AP59" s="327"/>
      <c r="AQ59" s="327"/>
      <c r="AR59" s="328"/>
      <c r="AS59" s="327">
        <f t="shared" si="15"/>
        <v>1520463</v>
      </c>
      <c r="AT59" s="327">
        <v>1520463</v>
      </c>
      <c r="AU59" s="327">
        <v>0</v>
      </c>
      <c r="AV59" s="327">
        <v>0</v>
      </c>
      <c r="AW59" s="328">
        <v>0</v>
      </c>
      <c r="AX59" s="327">
        <f t="shared" si="26"/>
        <v>10876462712.151751</v>
      </c>
      <c r="AY59" s="327">
        <v>10876462712.151751</v>
      </c>
      <c r="AZ59" s="327"/>
      <c r="BA59" s="327"/>
      <c r="BB59" s="328"/>
      <c r="BC59" s="328"/>
      <c r="BD59" s="182"/>
      <c r="BE59" s="182"/>
      <c r="BF59" s="182"/>
      <c r="BG59" s="182"/>
      <c r="BH59" s="182"/>
      <c r="BI59" s="182"/>
      <c r="BJ59" s="182"/>
      <c r="BK59" s="320">
        <f t="shared" si="30"/>
        <v>2725000</v>
      </c>
      <c r="BL59" s="321"/>
      <c r="BM59" s="320">
        <v>2725000</v>
      </c>
      <c r="BN59" s="321"/>
    </row>
    <row r="60" spans="1:66" ht="17.100000000000001" customHeight="1">
      <c r="B60" s="305"/>
      <c r="C60" s="196"/>
      <c r="D60" s="197" t="s">
        <v>168</v>
      </c>
      <c r="E60" s="365">
        <f t="shared" si="5"/>
        <v>2.6082000000000004E-2</v>
      </c>
      <c r="F60" s="365">
        <f t="shared" si="27"/>
        <v>2.902708838782915E-2</v>
      </c>
      <c r="G60" s="365">
        <f t="shared" si="28"/>
        <v>0</v>
      </c>
      <c r="H60" s="365"/>
      <c r="I60" s="370">
        <f t="shared" si="29"/>
        <v>0</v>
      </c>
      <c r="J60" s="327">
        <f t="shared" si="9"/>
        <v>5221999.7381136576</v>
      </c>
      <c r="K60" s="327">
        <v>5221999.7381136576</v>
      </c>
      <c r="L60" s="327"/>
      <c r="M60" s="327"/>
      <c r="N60" s="328"/>
      <c r="O60" s="327">
        <f t="shared" si="22"/>
        <v>1017629</v>
      </c>
      <c r="P60" s="327">
        <v>1017629</v>
      </c>
      <c r="Q60" s="327"/>
      <c r="R60" s="327"/>
      <c r="S60" s="328"/>
      <c r="T60" s="327">
        <f t="shared" si="10"/>
        <v>2921000</v>
      </c>
      <c r="U60" s="193">
        <v>2921000</v>
      </c>
      <c r="V60" s="193"/>
      <c r="W60" s="193"/>
      <c r="X60" s="194"/>
      <c r="Y60" s="327">
        <f t="shared" si="23"/>
        <v>2148267.9254399999</v>
      </c>
      <c r="Z60" s="327">
        <v>2148267.9254399999</v>
      </c>
      <c r="AA60" s="327">
        <v>0</v>
      </c>
      <c r="AB60" s="327"/>
      <c r="AC60" s="328"/>
      <c r="AD60" s="327">
        <f t="shared" si="24"/>
        <v>4595977</v>
      </c>
      <c r="AE60" s="327">
        <v>4595977</v>
      </c>
      <c r="AF60" s="327"/>
      <c r="AG60" s="327"/>
      <c r="AH60" s="328"/>
      <c r="AI60" s="193">
        <v>5966660</v>
      </c>
      <c r="AJ60" s="193">
        <f t="shared" si="25"/>
        <v>5966660</v>
      </c>
      <c r="AK60" s="193"/>
      <c r="AL60" s="193"/>
      <c r="AM60" s="194"/>
      <c r="AN60" s="327">
        <f t="shared" si="14"/>
        <v>3276996</v>
      </c>
      <c r="AO60" s="327">
        <v>3276996</v>
      </c>
      <c r="AP60" s="327"/>
      <c r="AQ60" s="327"/>
      <c r="AR60" s="328"/>
      <c r="AS60" s="327">
        <f t="shared" si="15"/>
        <v>0</v>
      </c>
      <c r="AT60" s="327">
        <v>0</v>
      </c>
      <c r="AU60" s="327">
        <v>0</v>
      </c>
      <c r="AV60" s="327">
        <v>0</v>
      </c>
      <c r="AW60" s="328">
        <v>0</v>
      </c>
      <c r="AX60" s="327">
        <f t="shared" si="26"/>
        <v>0</v>
      </c>
      <c r="AY60" s="327">
        <v>0</v>
      </c>
      <c r="AZ60" s="327"/>
      <c r="BA60" s="327"/>
      <c r="BB60" s="328"/>
      <c r="BC60" s="328"/>
      <c r="BD60" s="182"/>
      <c r="BE60" s="182"/>
      <c r="BF60" s="182"/>
      <c r="BG60" s="182"/>
      <c r="BH60" s="182"/>
      <c r="BI60" s="182"/>
      <c r="BJ60" s="182"/>
      <c r="BK60" s="320">
        <f t="shared" si="30"/>
        <v>2921000</v>
      </c>
      <c r="BL60" s="321"/>
      <c r="BM60" s="320">
        <v>2921000</v>
      </c>
      <c r="BN60" s="321"/>
    </row>
    <row r="61" spans="1:66" ht="17.100000000000001" customHeight="1">
      <c r="B61" s="305"/>
      <c r="C61" s="196"/>
      <c r="D61" s="197" t="s">
        <v>169</v>
      </c>
      <c r="E61" s="365">
        <f t="shared" si="5"/>
        <v>5.0301E-3</v>
      </c>
      <c r="F61" s="365">
        <f t="shared" si="27"/>
        <v>5.598081331938478E-3</v>
      </c>
      <c r="G61" s="365">
        <f t="shared" si="28"/>
        <v>0</v>
      </c>
      <c r="H61" s="365"/>
      <c r="I61" s="370">
        <f t="shared" si="29"/>
        <v>0</v>
      </c>
      <c r="J61" s="327">
        <f t="shared" si="9"/>
        <v>1007099.9494933481</v>
      </c>
      <c r="K61" s="327">
        <v>1007099.9494933481</v>
      </c>
      <c r="L61" s="327"/>
      <c r="M61" s="327"/>
      <c r="N61" s="328"/>
      <c r="O61" s="327">
        <f t="shared" si="22"/>
        <v>3568308</v>
      </c>
      <c r="P61" s="327">
        <v>3568308</v>
      </c>
      <c r="Q61" s="327"/>
      <c r="R61" s="327"/>
      <c r="S61" s="328"/>
      <c r="T61" s="327">
        <f t="shared" si="10"/>
        <v>2690000</v>
      </c>
      <c r="U61" s="193">
        <v>2690000</v>
      </c>
      <c r="V61" s="193"/>
      <c r="W61" s="193"/>
      <c r="X61" s="194"/>
      <c r="Y61" s="327">
        <f t="shared" si="23"/>
        <v>414308.8141919999</v>
      </c>
      <c r="Z61" s="327">
        <v>414308.8141919999</v>
      </c>
      <c r="AA61" s="327">
        <v>0</v>
      </c>
      <c r="AB61" s="327"/>
      <c r="AC61" s="328"/>
      <c r="AD61" s="327">
        <f t="shared" si="24"/>
        <v>7858581</v>
      </c>
      <c r="AE61" s="327">
        <v>7858581</v>
      </c>
      <c r="AF61" s="327"/>
      <c r="AG61" s="327"/>
      <c r="AH61" s="328"/>
      <c r="AI61" s="193">
        <v>2479298</v>
      </c>
      <c r="AJ61" s="193">
        <f t="shared" si="25"/>
        <v>2479298</v>
      </c>
      <c r="AK61" s="193"/>
      <c r="AL61" s="193"/>
      <c r="AM61" s="194"/>
      <c r="AN61" s="327">
        <f t="shared" si="14"/>
        <v>5603290</v>
      </c>
      <c r="AO61" s="327">
        <v>5603290</v>
      </c>
      <c r="AP61" s="327"/>
      <c r="AQ61" s="327"/>
      <c r="AR61" s="328"/>
      <c r="AS61" s="327">
        <f t="shared" si="15"/>
        <v>1067985</v>
      </c>
      <c r="AT61" s="327">
        <v>1067985</v>
      </c>
      <c r="AU61" s="327">
        <v>0</v>
      </c>
      <c r="AV61" s="327">
        <v>0</v>
      </c>
      <c r="AW61" s="328">
        <v>0</v>
      </c>
      <c r="AX61" s="327">
        <f t="shared" si="26"/>
        <v>3015898579.3263068</v>
      </c>
      <c r="AY61" s="327">
        <v>3015898579.3263068</v>
      </c>
      <c r="AZ61" s="327"/>
      <c r="BA61" s="327"/>
      <c r="BB61" s="328"/>
      <c r="BC61" s="328"/>
      <c r="BD61" s="182"/>
      <c r="BE61" s="182"/>
      <c r="BF61" s="182"/>
      <c r="BG61" s="182"/>
      <c r="BH61" s="182"/>
      <c r="BI61" s="182"/>
      <c r="BJ61" s="182"/>
      <c r="BK61" s="320">
        <f t="shared" si="30"/>
        <v>2690000</v>
      </c>
      <c r="BL61" s="321"/>
      <c r="BM61" s="320">
        <v>2690000</v>
      </c>
      <c r="BN61" s="321"/>
    </row>
    <row r="62" spans="1:66" ht="17.100000000000001" customHeight="1">
      <c r="B62" s="305"/>
      <c r="C62" s="198"/>
      <c r="D62" s="199" t="s">
        <v>144</v>
      </c>
      <c r="E62" s="366">
        <f t="shared" si="5"/>
        <v>0.62099999999999989</v>
      </c>
      <c r="F62" s="366">
        <f t="shared" ref="F62:F63" si="31">Z62/Z$79</f>
        <v>0.69112115209117009</v>
      </c>
      <c r="G62" s="366">
        <f t="shared" ref="G62:G63" si="32">AA62/AA$79</f>
        <v>0</v>
      </c>
      <c r="H62" s="366"/>
      <c r="I62" s="371">
        <f t="shared" ref="I62:I63" si="33">AC62/AC$79</f>
        <v>0</v>
      </c>
      <c r="J62" s="335">
        <f>SUM(J39:J61)</f>
        <v>124333327.09794421</v>
      </c>
      <c r="K62" s="335">
        <v>124333327.09794421</v>
      </c>
      <c r="L62" s="335">
        <v>0</v>
      </c>
      <c r="M62" s="335">
        <v>0</v>
      </c>
      <c r="N62" s="336">
        <v>0</v>
      </c>
      <c r="O62" s="335">
        <f>SUM(O39:O61)</f>
        <v>81370666</v>
      </c>
      <c r="P62" s="335">
        <v>81370666</v>
      </c>
      <c r="Q62" s="335">
        <v>0</v>
      </c>
      <c r="R62" s="335">
        <v>0</v>
      </c>
      <c r="S62" s="336">
        <v>0</v>
      </c>
      <c r="T62" s="335">
        <f>SUM(T39:T61)</f>
        <v>88033000</v>
      </c>
      <c r="U62" s="200">
        <v>88033000</v>
      </c>
      <c r="V62" s="200">
        <f>SUM(V39:V61)</f>
        <v>0</v>
      </c>
      <c r="W62" s="200">
        <f>SUM(W39:W61)</f>
        <v>0</v>
      </c>
      <c r="X62" s="201">
        <f>SUM(X39:X61)</f>
        <v>0</v>
      </c>
      <c r="Y62" s="335">
        <f>SUM(Y39:Y61)</f>
        <v>51149236.319999985</v>
      </c>
      <c r="Z62" s="335">
        <v>51149236.319999985</v>
      </c>
      <c r="AA62" s="335">
        <v>0</v>
      </c>
      <c r="AB62" s="335">
        <v>0</v>
      </c>
      <c r="AC62" s="336">
        <v>0</v>
      </c>
      <c r="AD62" s="335">
        <f>SUM(AD39:AD61)</f>
        <v>116540240</v>
      </c>
      <c r="AE62" s="335">
        <v>116540240</v>
      </c>
      <c r="AF62" s="335">
        <v>0</v>
      </c>
      <c r="AG62" s="335">
        <v>0</v>
      </c>
      <c r="AH62" s="336">
        <v>0</v>
      </c>
      <c r="AI62" s="248">
        <f t="shared" ref="AI62:AS62" si="34">SUM(AI39:AI61)</f>
        <v>159328904</v>
      </c>
      <c r="AJ62" s="200">
        <f t="shared" si="34"/>
        <v>159328904</v>
      </c>
      <c r="AK62" s="200">
        <f t="shared" si="34"/>
        <v>0</v>
      </c>
      <c r="AL62" s="200">
        <f t="shared" si="34"/>
        <v>0</v>
      </c>
      <c r="AM62" s="201">
        <f t="shared" si="34"/>
        <v>0</v>
      </c>
      <c r="AN62" s="335">
        <f t="shared" si="34"/>
        <v>83094836</v>
      </c>
      <c r="AO62" s="335">
        <f t="shared" si="34"/>
        <v>83094836</v>
      </c>
      <c r="AP62" s="335">
        <f t="shared" si="34"/>
        <v>0</v>
      </c>
      <c r="AQ62" s="335">
        <f t="shared" si="34"/>
        <v>0</v>
      </c>
      <c r="AR62" s="336">
        <f t="shared" si="34"/>
        <v>0</v>
      </c>
      <c r="AS62" s="335">
        <f t="shared" si="34"/>
        <v>121249042</v>
      </c>
      <c r="AT62" s="335">
        <v>121249042</v>
      </c>
      <c r="AU62" s="335">
        <f>SUM(AU39:AU61)</f>
        <v>0</v>
      </c>
      <c r="AV62" s="335">
        <f>SUM(AV39:AV61)</f>
        <v>0</v>
      </c>
      <c r="AW62" s="336">
        <f>SUM(AW39:AW61)</f>
        <v>0</v>
      </c>
      <c r="AX62" s="335">
        <f>SUM(AX39:AX61)</f>
        <v>316715229851.75848</v>
      </c>
      <c r="AY62" s="335">
        <v>316715229851.75848</v>
      </c>
      <c r="AZ62" s="335">
        <v>0</v>
      </c>
      <c r="BA62" s="335">
        <v>0</v>
      </c>
      <c r="BB62" s="336">
        <v>0</v>
      </c>
      <c r="BC62" s="336"/>
      <c r="BD62" s="182"/>
      <c r="BE62" s="182"/>
      <c r="BF62" s="182"/>
      <c r="BG62" s="182"/>
      <c r="BH62" s="182"/>
      <c r="BI62" s="182"/>
      <c r="BJ62" s="182"/>
      <c r="BK62" s="320">
        <f>SUM(BK39:BL61)</f>
        <v>88033000</v>
      </c>
      <c r="BL62" s="321"/>
      <c r="BM62" s="320">
        <f>SUM(BM39:BN61)</f>
        <v>88033000</v>
      </c>
      <c r="BN62" s="321"/>
    </row>
    <row r="63" spans="1:66" ht="17.100000000000001" customHeight="1">
      <c r="B63" s="306"/>
      <c r="C63" s="203" t="s">
        <v>171</v>
      </c>
      <c r="D63" s="192" t="s">
        <v>172</v>
      </c>
      <c r="E63" s="365">
        <f t="shared" si="5"/>
        <v>1.8801509999999997E-2</v>
      </c>
      <c r="F63" s="365">
        <f t="shared" si="31"/>
        <v>2.0924510873194292E-2</v>
      </c>
      <c r="G63" s="365">
        <f t="shared" si="32"/>
        <v>0</v>
      </c>
      <c r="H63" s="365"/>
      <c r="I63" s="370">
        <f t="shared" si="33"/>
        <v>0</v>
      </c>
      <c r="J63" s="327">
        <f t="shared" si="9"/>
        <v>3764338.6356928642</v>
      </c>
      <c r="K63" s="327">
        <v>3764338.6356928642</v>
      </c>
      <c r="L63" s="327"/>
      <c r="M63" s="327"/>
      <c r="N63" s="328"/>
      <c r="O63" s="327">
        <f t="shared" ref="O63:O71" si="35">P63+Q63+R63+S63</f>
        <v>1339767</v>
      </c>
      <c r="P63" s="327">
        <v>1339767</v>
      </c>
      <c r="Q63" s="327"/>
      <c r="R63" s="327"/>
      <c r="S63" s="328"/>
      <c r="T63" s="327">
        <f t="shared" si="10"/>
        <v>2784000</v>
      </c>
      <c r="U63" s="193">
        <v>2784000</v>
      </c>
      <c r="V63" s="193"/>
      <c r="W63" s="193"/>
      <c r="X63" s="194"/>
      <c r="Y63" s="327">
        <f t="shared" ref="Y63:Y71" si="36">Z63+AA63+AB63+AC63</f>
        <v>1548603.6685391995</v>
      </c>
      <c r="Z63" s="342">
        <v>1548603.6685391995</v>
      </c>
      <c r="AA63" s="327">
        <v>0</v>
      </c>
      <c r="AB63" s="327"/>
      <c r="AC63" s="328"/>
      <c r="AD63" s="327">
        <f t="shared" ref="AD63:AD71" si="37">AE63+AF63+AG63+AH63</f>
        <v>4856360</v>
      </c>
      <c r="AE63" s="327">
        <v>4856360</v>
      </c>
      <c r="AF63" s="327"/>
      <c r="AG63" s="327"/>
      <c r="AH63" s="328"/>
      <c r="AI63" s="193">
        <v>2424807</v>
      </c>
      <c r="AJ63" s="193">
        <f t="shared" ref="AJ63:AJ71" si="38">AI63-AL63-AM63</f>
        <v>2424807</v>
      </c>
      <c r="AK63" s="193"/>
      <c r="AL63" s="193"/>
      <c r="AM63" s="194"/>
      <c r="AN63" s="327">
        <f t="shared" si="14"/>
        <v>3798291</v>
      </c>
      <c r="AO63" s="327">
        <v>3798291</v>
      </c>
      <c r="AP63" s="327"/>
      <c r="AQ63" s="327"/>
      <c r="AR63" s="328"/>
      <c r="AS63" s="327">
        <f t="shared" si="15"/>
        <v>1388293</v>
      </c>
      <c r="AT63" s="327">
        <v>1388293</v>
      </c>
      <c r="AU63" s="327">
        <v>0</v>
      </c>
      <c r="AV63" s="327">
        <v>0</v>
      </c>
      <c r="AW63" s="328">
        <v>0</v>
      </c>
      <c r="AX63" s="327">
        <f t="shared" ref="AX63:AX71" si="39">AY63+AZ63+BA63+BB63</f>
        <v>2748784471.9449301</v>
      </c>
      <c r="AY63" s="327">
        <v>2748784471.9449301</v>
      </c>
      <c r="AZ63" s="327"/>
      <c r="BA63" s="327"/>
      <c r="BB63" s="328"/>
      <c r="BC63" s="328"/>
      <c r="BD63" s="182"/>
      <c r="BE63" s="540" t="s">
        <v>173</v>
      </c>
      <c r="BF63" s="532" t="s">
        <v>174</v>
      </c>
      <c r="BG63" s="204" t="s">
        <v>175</v>
      </c>
      <c r="BH63" s="204">
        <f>총괄표!D12</f>
        <v>159685033</v>
      </c>
      <c r="BI63" s="205">
        <f>BH63/$BH$66</f>
        <v>0.89839999711044782</v>
      </c>
      <c r="BJ63" s="182"/>
      <c r="BK63" s="320">
        <f t="shared" si="30"/>
        <v>2784000</v>
      </c>
      <c r="BL63" s="321"/>
      <c r="BM63" s="320">
        <v>2784000</v>
      </c>
      <c r="BN63" s="321"/>
    </row>
    <row r="64" spans="1:66" ht="17.100000000000001" customHeight="1">
      <c r="B64" s="306"/>
      <c r="C64" s="206" t="s">
        <v>176</v>
      </c>
      <c r="D64" s="192" t="s">
        <v>177</v>
      </c>
      <c r="E64" s="365">
        <f t="shared" si="5"/>
        <v>1.2534339999999998E-2</v>
      </c>
      <c r="F64" s="365">
        <f t="shared" ref="F64:F71" si="40">Z64/Z$79</f>
        <v>1.3949673915462861E-2</v>
      </c>
      <c r="G64" s="365">
        <f t="shared" ref="G64:G71" si="41">AA64/AA$79</f>
        <v>0</v>
      </c>
      <c r="H64" s="365"/>
      <c r="I64" s="370">
        <f t="shared" ref="I64:I71" si="42">AC64/AC$79</f>
        <v>0</v>
      </c>
      <c r="J64" s="327">
        <f t="shared" si="9"/>
        <v>2509559.0904619093</v>
      </c>
      <c r="K64" s="327">
        <v>2509559.0904619093</v>
      </c>
      <c r="L64" s="327"/>
      <c r="M64" s="327"/>
      <c r="N64" s="328"/>
      <c r="O64" s="327">
        <f t="shared" si="35"/>
        <v>1339767</v>
      </c>
      <c r="P64" s="327">
        <v>1339767</v>
      </c>
      <c r="Q64" s="327"/>
      <c r="R64" s="327"/>
      <c r="S64" s="328"/>
      <c r="T64" s="327">
        <f t="shared" si="10"/>
        <v>2120000</v>
      </c>
      <c r="U64" s="193">
        <v>2120000</v>
      </c>
      <c r="V64" s="193"/>
      <c r="W64" s="193"/>
      <c r="X64" s="194"/>
      <c r="Y64" s="327">
        <f t="shared" si="36"/>
        <v>1032402.4456927996</v>
      </c>
      <c r="Z64" s="342">
        <v>1032402.4456927996</v>
      </c>
      <c r="AA64" s="327">
        <v>0</v>
      </c>
      <c r="AB64" s="327"/>
      <c r="AC64" s="328"/>
      <c r="AD64" s="327">
        <f t="shared" si="37"/>
        <v>4356016</v>
      </c>
      <c r="AE64" s="327">
        <v>4356016</v>
      </c>
      <c r="AF64" s="327"/>
      <c r="AG64" s="327"/>
      <c r="AH64" s="328"/>
      <c r="AI64" s="193">
        <v>2424807</v>
      </c>
      <c r="AJ64" s="193">
        <f t="shared" si="38"/>
        <v>2424807</v>
      </c>
      <c r="AK64" s="193"/>
      <c r="AL64" s="193"/>
      <c r="AM64" s="194"/>
      <c r="AN64" s="327">
        <f t="shared" si="14"/>
        <v>3406958</v>
      </c>
      <c r="AO64" s="327">
        <v>3406958</v>
      </c>
      <c r="AP64" s="327"/>
      <c r="AQ64" s="327"/>
      <c r="AR64" s="328"/>
      <c r="AS64" s="327">
        <f t="shared" si="15"/>
        <v>2179797</v>
      </c>
      <c r="AT64" s="327">
        <v>2179797</v>
      </c>
      <c r="AU64" s="327">
        <v>0</v>
      </c>
      <c r="AV64" s="327">
        <v>0</v>
      </c>
      <c r="AW64" s="328">
        <v>0</v>
      </c>
      <c r="AX64" s="327">
        <f t="shared" si="39"/>
        <v>3045274593.6682572</v>
      </c>
      <c r="AY64" s="327">
        <v>3045274593.6682572</v>
      </c>
      <c r="AZ64" s="327"/>
      <c r="BA64" s="327"/>
      <c r="BB64" s="328"/>
      <c r="BC64" s="328"/>
      <c r="BD64" s="182"/>
      <c r="BE64" s="541"/>
      <c r="BF64" s="532"/>
      <c r="BG64" s="204" t="s">
        <v>178</v>
      </c>
      <c r="BH64" s="204">
        <f>총괄표!D13</f>
        <v>11073439</v>
      </c>
      <c r="BI64" s="205">
        <f t="shared" ref="BI64:BI65" si="43">BH64/$BH$66</f>
        <v>6.2300000060761612E-2</v>
      </c>
      <c r="BJ64" s="182"/>
      <c r="BK64" s="320">
        <f t="shared" si="30"/>
        <v>2120000</v>
      </c>
      <c r="BL64" s="321"/>
      <c r="BM64" s="320">
        <v>2120000</v>
      </c>
      <c r="BN64" s="321"/>
    </row>
    <row r="65" spans="2:66" ht="17.100000000000001" customHeight="1">
      <c r="B65" s="306"/>
      <c r="C65" s="207"/>
      <c r="D65" s="192" t="s">
        <v>233</v>
      </c>
      <c r="E65" s="365">
        <f t="shared" si="5"/>
        <v>2.1310899999999997E-2</v>
      </c>
      <c r="F65" s="365">
        <f t="shared" si="40"/>
        <v>2.3717252431722572E-2</v>
      </c>
      <c r="G65" s="365">
        <f t="shared" si="41"/>
        <v>0</v>
      </c>
      <c r="H65" s="365"/>
      <c r="I65" s="370">
        <f t="shared" si="42"/>
        <v>0</v>
      </c>
      <c r="J65" s="327">
        <f t="shared" si="9"/>
        <v>4266755.3952521402</v>
      </c>
      <c r="K65" s="327">
        <v>4266755.3952521402</v>
      </c>
      <c r="L65" s="327"/>
      <c r="M65" s="327"/>
      <c r="N65" s="328"/>
      <c r="O65" s="327">
        <f t="shared" si="35"/>
        <v>1824020</v>
      </c>
      <c r="P65" s="327">
        <v>1824020</v>
      </c>
      <c r="Q65" s="327"/>
      <c r="R65" s="327"/>
      <c r="S65" s="328"/>
      <c r="T65" s="327">
        <f t="shared" si="10"/>
        <v>2218000</v>
      </c>
      <c r="U65" s="193">
        <v>2218000</v>
      </c>
      <c r="V65" s="193"/>
      <c r="W65" s="193"/>
      <c r="X65" s="194"/>
      <c r="Y65" s="327">
        <f t="shared" si="36"/>
        <v>1755291.8845279994</v>
      </c>
      <c r="Z65" s="342">
        <v>1755291.8845279994</v>
      </c>
      <c r="AA65" s="327">
        <v>0</v>
      </c>
      <c r="AB65" s="327"/>
      <c r="AC65" s="328"/>
      <c r="AD65" s="327">
        <f t="shared" si="37"/>
        <v>2928524</v>
      </c>
      <c r="AE65" s="327">
        <v>2928524</v>
      </c>
      <c r="AF65" s="327"/>
      <c r="AG65" s="327"/>
      <c r="AH65" s="328"/>
      <c r="AI65" s="193">
        <v>5775945</v>
      </c>
      <c r="AJ65" s="193">
        <f t="shared" si="38"/>
        <v>5775945</v>
      </c>
      <c r="AK65" s="193"/>
      <c r="AL65" s="193"/>
      <c r="AM65" s="194"/>
      <c r="AN65" s="327">
        <f t="shared" si="14"/>
        <v>2290478</v>
      </c>
      <c r="AO65" s="327">
        <v>2290478</v>
      </c>
      <c r="AP65" s="327"/>
      <c r="AQ65" s="327"/>
      <c r="AR65" s="328"/>
      <c r="AS65" s="327">
        <f t="shared" si="15"/>
        <v>8326598</v>
      </c>
      <c r="AT65" s="327">
        <v>8326598</v>
      </c>
      <c r="AU65" s="327">
        <v>0</v>
      </c>
      <c r="AV65" s="327">
        <v>0</v>
      </c>
      <c r="AW65" s="328">
        <v>0</v>
      </c>
      <c r="AX65" s="327">
        <f t="shared" si="39"/>
        <v>4125855901.0989289</v>
      </c>
      <c r="AY65" s="327">
        <v>4125855901.0989289</v>
      </c>
      <c r="AZ65" s="327"/>
      <c r="BA65" s="327"/>
      <c r="BB65" s="328"/>
      <c r="BC65" s="328"/>
      <c r="BD65" s="182"/>
      <c r="BE65" s="541"/>
      <c r="BF65" s="532"/>
      <c r="BG65" s="204" t="s">
        <v>179</v>
      </c>
      <c r="BH65" s="204">
        <f>총괄표!D14</f>
        <v>6985332</v>
      </c>
      <c r="BI65" s="205">
        <f t="shared" si="43"/>
        <v>3.9300002828790592E-2</v>
      </c>
      <c r="BJ65" s="182"/>
      <c r="BK65" s="320">
        <f t="shared" si="30"/>
        <v>2218000</v>
      </c>
      <c r="BL65" s="321"/>
      <c r="BM65" s="320">
        <v>2218000</v>
      </c>
      <c r="BN65" s="321"/>
    </row>
    <row r="66" spans="2:66" ht="17.100000000000001" customHeight="1">
      <c r="B66" s="306"/>
      <c r="C66" s="208"/>
      <c r="D66" s="197" t="s">
        <v>180</v>
      </c>
      <c r="E66" s="365">
        <f t="shared" si="5"/>
        <v>1.3795339999999996E-2</v>
      </c>
      <c r="F66" s="365">
        <f t="shared" si="40"/>
        <v>1.5353061633316267E-2</v>
      </c>
      <c r="G66" s="365">
        <f t="shared" si="41"/>
        <v>0</v>
      </c>
      <c r="H66" s="365"/>
      <c r="I66" s="370">
        <f t="shared" si="42"/>
        <v>0</v>
      </c>
      <c r="J66" s="327">
        <f t="shared" si="9"/>
        <v>2762029.8239087812</v>
      </c>
      <c r="K66" s="327">
        <v>2762029.8239087812</v>
      </c>
      <c r="L66" s="327"/>
      <c r="M66" s="327"/>
      <c r="N66" s="328"/>
      <c r="O66" s="327">
        <f t="shared" si="35"/>
        <v>1097640</v>
      </c>
      <c r="P66" s="327">
        <v>1097640</v>
      </c>
      <c r="Q66" s="327"/>
      <c r="R66" s="327"/>
      <c r="S66" s="328"/>
      <c r="T66" s="327">
        <f t="shared" si="10"/>
        <v>2161000</v>
      </c>
      <c r="U66" s="193">
        <v>2161000</v>
      </c>
      <c r="V66" s="193"/>
      <c r="W66" s="193"/>
      <c r="X66" s="194"/>
      <c r="Y66" s="327">
        <f t="shared" si="36"/>
        <v>1136265.8708127995</v>
      </c>
      <c r="Z66" s="342">
        <v>1136265.8708127995</v>
      </c>
      <c r="AA66" s="327">
        <v>0</v>
      </c>
      <c r="AB66" s="327"/>
      <c r="AC66" s="328"/>
      <c r="AD66" s="327">
        <f t="shared" si="37"/>
        <v>1800089</v>
      </c>
      <c r="AE66" s="327">
        <v>1800089</v>
      </c>
      <c r="AF66" s="327"/>
      <c r="AG66" s="327"/>
      <c r="AH66" s="328"/>
      <c r="AI66" s="193">
        <v>6375336</v>
      </c>
      <c r="AJ66" s="193">
        <f t="shared" si="38"/>
        <v>6375336</v>
      </c>
      <c r="AK66" s="193"/>
      <c r="AL66" s="193"/>
      <c r="AM66" s="194"/>
      <c r="AN66" s="327">
        <f t="shared" si="14"/>
        <v>1407898</v>
      </c>
      <c r="AO66" s="327">
        <v>1407898</v>
      </c>
      <c r="AP66" s="327"/>
      <c r="AQ66" s="327"/>
      <c r="AR66" s="328"/>
      <c r="AS66" s="327">
        <f t="shared" si="15"/>
        <v>1686593</v>
      </c>
      <c r="AT66" s="327">
        <v>1686593</v>
      </c>
      <c r="AU66" s="327">
        <v>0</v>
      </c>
      <c r="AV66" s="327">
        <v>0</v>
      </c>
      <c r="AW66" s="328">
        <v>0</v>
      </c>
      <c r="AX66" s="327">
        <f t="shared" si="39"/>
        <v>4224090565.4108076</v>
      </c>
      <c r="AY66" s="327">
        <v>4224090565.4108076</v>
      </c>
      <c r="AZ66" s="327"/>
      <c r="BA66" s="327"/>
      <c r="BB66" s="328"/>
      <c r="BC66" s="328"/>
      <c r="BD66" s="182"/>
      <c r="BE66" s="541"/>
      <c r="BF66" s="533"/>
      <c r="BG66" s="209" t="s">
        <v>181</v>
      </c>
      <c r="BH66" s="264">
        <f>SUM(BH63:BH65)</f>
        <v>177743804</v>
      </c>
      <c r="BI66" s="205"/>
      <c r="BJ66" s="182"/>
      <c r="BK66" s="320">
        <f t="shared" si="30"/>
        <v>2161000</v>
      </c>
      <c r="BL66" s="321"/>
      <c r="BM66" s="320">
        <v>2161000</v>
      </c>
      <c r="BN66" s="321"/>
    </row>
    <row r="67" spans="2:66" ht="17.100000000000001" customHeight="1">
      <c r="B67" s="306"/>
      <c r="C67" s="208"/>
      <c r="D67" s="192" t="s">
        <v>182</v>
      </c>
      <c r="E67" s="365">
        <f t="shared" si="5"/>
        <v>1.9545499999999997E-2</v>
      </c>
      <c r="F67" s="365">
        <f t="shared" si="40"/>
        <v>2.1752509626727801E-2</v>
      </c>
      <c r="G67" s="365">
        <f t="shared" si="41"/>
        <v>0</v>
      </c>
      <c r="H67" s="365"/>
      <c r="I67" s="370">
        <f t="shared" si="42"/>
        <v>0</v>
      </c>
      <c r="J67" s="327">
        <f t="shared" si="9"/>
        <v>3913296.368426519</v>
      </c>
      <c r="K67" s="327">
        <v>3913296.368426519</v>
      </c>
      <c r="L67" s="337"/>
      <c r="M67" s="337"/>
      <c r="N67" s="338"/>
      <c r="O67" s="327">
        <f t="shared" si="35"/>
        <v>2679534</v>
      </c>
      <c r="P67" s="327">
        <v>2679534</v>
      </c>
      <c r="Q67" s="337"/>
      <c r="R67" s="337"/>
      <c r="S67" s="338"/>
      <c r="T67" s="327">
        <f t="shared" si="10"/>
        <v>2116000</v>
      </c>
      <c r="U67" s="193">
        <v>2116000</v>
      </c>
      <c r="V67" s="210"/>
      <c r="W67" s="210"/>
      <c r="X67" s="211"/>
      <c r="Y67" s="327">
        <f t="shared" si="36"/>
        <v>1609883.0893599994</v>
      </c>
      <c r="Z67" s="342">
        <v>1609883.0893599994</v>
      </c>
      <c r="AA67" s="337">
        <v>0</v>
      </c>
      <c r="AB67" s="337"/>
      <c r="AC67" s="338"/>
      <c r="AD67" s="327">
        <f t="shared" si="37"/>
        <v>0</v>
      </c>
      <c r="AE67" s="327">
        <v>0</v>
      </c>
      <c r="AF67" s="337"/>
      <c r="AG67" s="337"/>
      <c r="AH67" s="338"/>
      <c r="AI67" s="193">
        <v>0</v>
      </c>
      <c r="AJ67" s="193">
        <f t="shared" si="38"/>
        <v>0</v>
      </c>
      <c r="AK67" s="210"/>
      <c r="AL67" s="210"/>
      <c r="AM67" s="211"/>
      <c r="AN67" s="327">
        <f t="shared" si="14"/>
        <v>0</v>
      </c>
      <c r="AO67" s="327">
        <v>0</v>
      </c>
      <c r="AP67" s="337"/>
      <c r="AQ67" s="337"/>
      <c r="AR67" s="338"/>
      <c r="AS67" s="327">
        <f t="shared" si="15"/>
        <v>2818000</v>
      </c>
      <c r="AT67" s="327">
        <v>2818000</v>
      </c>
      <c r="AU67" s="337">
        <v>0</v>
      </c>
      <c r="AV67" s="337">
        <v>0</v>
      </c>
      <c r="AW67" s="338">
        <v>0</v>
      </c>
      <c r="AX67" s="327">
        <f t="shared" si="39"/>
        <v>5157319876.373662</v>
      </c>
      <c r="AY67" s="327">
        <v>5157319876.373662</v>
      </c>
      <c r="AZ67" s="337"/>
      <c r="BA67" s="337"/>
      <c r="BB67" s="338"/>
      <c r="BC67" s="338"/>
      <c r="BD67" s="182"/>
      <c r="BE67" s="541"/>
      <c r="BF67" s="534" t="s">
        <v>183</v>
      </c>
      <c r="BG67" s="534"/>
      <c r="BH67" s="265">
        <f>총괄표!D22</f>
        <v>200418374</v>
      </c>
      <c r="BI67" s="205"/>
      <c r="BJ67" s="182"/>
      <c r="BK67" s="320">
        <f t="shared" si="30"/>
        <v>2116000</v>
      </c>
      <c r="BL67" s="321"/>
      <c r="BM67" s="320">
        <v>2116000</v>
      </c>
      <c r="BN67" s="321"/>
    </row>
    <row r="68" spans="2:66" ht="17.100000000000001" customHeight="1">
      <c r="B68" s="306"/>
      <c r="C68" s="207"/>
      <c r="D68" s="192" t="s">
        <v>184</v>
      </c>
      <c r="E68" s="365">
        <f t="shared" si="5"/>
        <v>1.1285949999999998E-2</v>
      </c>
      <c r="F68" s="365">
        <f t="shared" si="40"/>
        <v>1.2560320074787988E-2</v>
      </c>
      <c r="G68" s="365">
        <f t="shared" si="41"/>
        <v>0</v>
      </c>
      <c r="H68" s="365"/>
      <c r="I68" s="370">
        <f t="shared" si="42"/>
        <v>0</v>
      </c>
      <c r="J68" s="327">
        <f t="shared" si="9"/>
        <v>2259613.0643495061</v>
      </c>
      <c r="K68" s="327">
        <v>2259613.0643495061</v>
      </c>
      <c r="L68" s="327"/>
      <c r="M68" s="327"/>
      <c r="N68" s="328"/>
      <c r="O68" s="327">
        <f t="shared" si="35"/>
        <v>2921660</v>
      </c>
      <c r="P68" s="327">
        <v>2921660</v>
      </c>
      <c r="Q68" s="327"/>
      <c r="R68" s="327"/>
      <c r="S68" s="328"/>
      <c r="T68" s="327">
        <f t="shared" si="10"/>
        <v>1964000</v>
      </c>
      <c r="U68" s="193">
        <v>1964000</v>
      </c>
      <c r="V68" s="193"/>
      <c r="W68" s="193"/>
      <c r="X68" s="194"/>
      <c r="Y68" s="327">
        <f t="shared" si="36"/>
        <v>929577.65482399962</v>
      </c>
      <c r="Z68" s="342">
        <v>929577.65482399962</v>
      </c>
      <c r="AA68" s="327">
        <v>0</v>
      </c>
      <c r="AB68" s="327"/>
      <c r="AC68" s="328"/>
      <c r="AD68" s="327">
        <f t="shared" si="37"/>
        <v>788839</v>
      </c>
      <c r="AE68" s="327">
        <v>788839</v>
      </c>
      <c r="AF68" s="327"/>
      <c r="AG68" s="327"/>
      <c r="AH68" s="328"/>
      <c r="AI68" s="193">
        <v>4658899</v>
      </c>
      <c r="AJ68" s="193">
        <f t="shared" si="38"/>
        <v>4658899</v>
      </c>
      <c r="AK68" s="193"/>
      <c r="AL68" s="193"/>
      <c r="AM68" s="194"/>
      <c r="AN68" s="327">
        <f t="shared" si="14"/>
        <v>616972</v>
      </c>
      <c r="AO68" s="327">
        <v>616972</v>
      </c>
      <c r="AP68" s="327"/>
      <c r="AQ68" s="327"/>
      <c r="AR68" s="328"/>
      <c r="AS68" s="327">
        <f t="shared" si="15"/>
        <v>3680962</v>
      </c>
      <c r="AT68" s="327">
        <v>3680962</v>
      </c>
      <c r="AU68" s="327">
        <v>0</v>
      </c>
      <c r="AV68" s="327">
        <v>0</v>
      </c>
      <c r="AW68" s="328">
        <v>0</v>
      </c>
      <c r="AX68" s="327">
        <f t="shared" si="39"/>
        <v>7711421148.4825211</v>
      </c>
      <c r="AY68" s="327">
        <v>7711421148.4825211</v>
      </c>
      <c r="AZ68" s="327"/>
      <c r="BA68" s="327"/>
      <c r="BB68" s="328"/>
      <c r="BC68" s="328"/>
      <c r="BD68" s="182"/>
      <c r="BE68" s="541"/>
      <c r="BF68" s="533" t="s">
        <v>185</v>
      </c>
      <c r="BG68" s="535"/>
      <c r="BH68" s="204">
        <f>총괄표!D23</f>
        <v>169137067</v>
      </c>
      <c r="BI68" s="205"/>
      <c r="BJ68" s="182"/>
      <c r="BK68" s="320">
        <f t="shared" si="30"/>
        <v>1964000</v>
      </c>
      <c r="BL68" s="321"/>
      <c r="BM68" s="320">
        <v>1964000</v>
      </c>
      <c r="BN68" s="321"/>
    </row>
    <row r="69" spans="2:66" ht="17.100000000000001" customHeight="1">
      <c r="B69" s="306"/>
      <c r="C69" s="208"/>
      <c r="D69" s="192" t="s">
        <v>186</v>
      </c>
      <c r="E69" s="365">
        <f t="shared" si="5"/>
        <v>6.267169999999999E-3</v>
      </c>
      <c r="F69" s="365">
        <f t="shared" si="40"/>
        <v>6.9748369577314305E-3</v>
      </c>
      <c r="G69" s="365">
        <f t="shared" si="41"/>
        <v>0</v>
      </c>
      <c r="H69" s="365"/>
      <c r="I69" s="370">
        <f t="shared" si="42"/>
        <v>0</v>
      </c>
      <c r="J69" s="327">
        <f t="shared" si="9"/>
        <v>1254779.5452309547</v>
      </c>
      <c r="K69" s="327">
        <v>1254779.5452309547</v>
      </c>
      <c r="L69" s="327"/>
      <c r="M69" s="327"/>
      <c r="N69" s="328"/>
      <c r="O69" s="327">
        <f t="shared" si="35"/>
        <v>613387</v>
      </c>
      <c r="P69" s="327">
        <v>613387</v>
      </c>
      <c r="Q69" s="327"/>
      <c r="R69" s="327"/>
      <c r="S69" s="328"/>
      <c r="T69" s="327">
        <f t="shared" si="10"/>
        <v>475000</v>
      </c>
      <c r="U69" s="193">
        <v>475000</v>
      </c>
      <c r="V69" s="193"/>
      <c r="W69" s="193"/>
      <c r="X69" s="194"/>
      <c r="Y69" s="327">
        <f t="shared" si="36"/>
        <v>516201.22284639982</v>
      </c>
      <c r="Z69" s="342">
        <v>516201.22284639982</v>
      </c>
      <c r="AA69" s="327">
        <v>0</v>
      </c>
      <c r="AB69" s="327"/>
      <c r="AC69" s="328"/>
      <c r="AD69" s="327">
        <f t="shared" si="37"/>
        <v>942138</v>
      </c>
      <c r="AE69" s="327">
        <v>942138</v>
      </c>
      <c r="AF69" s="327"/>
      <c r="AG69" s="327"/>
      <c r="AH69" s="328"/>
      <c r="AI69" s="193">
        <v>2506542</v>
      </c>
      <c r="AJ69" s="193">
        <f t="shared" si="38"/>
        <v>2506542</v>
      </c>
      <c r="AK69" s="193"/>
      <c r="AL69" s="193"/>
      <c r="AM69" s="194"/>
      <c r="AN69" s="327">
        <f t="shared" si="14"/>
        <v>736871</v>
      </c>
      <c r="AO69" s="327">
        <v>736871</v>
      </c>
      <c r="AP69" s="327"/>
      <c r="AQ69" s="327"/>
      <c r="AR69" s="328"/>
      <c r="AS69" s="327">
        <f t="shared" si="15"/>
        <v>533000</v>
      </c>
      <c r="AT69" s="327">
        <v>533000</v>
      </c>
      <c r="AU69" s="327">
        <v>0</v>
      </c>
      <c r="AV69" s="327">
        <v>0</v>
      </c>
      <c r="AW69" s="328">
        <v>0</v>
      </c>
      <c r="AX69" s="327">
        <f t="shared" si="39"/>
        <v>1129698639.5866115</v>
      </c>
      <c r="AY69" s="327">
        <v>1129698639.5866115</v>
      </c>
      <c r="AZ69" s="327"/>
      <c r="BA69" s="327"/>
      <c r="BB69" s="328"/>
      <c r="BC69" s="328"/>
      <c r="BD69" s="182"/>
      <c r="BE69" s="542"/>
      <c r="BF69" s="533" t="s">
        <v>187</v>
      </c>
      <c r="BG69" s="535"/>
      <c r="BH69" s="204">
        <f>총괄표!D24</f>
        <v>6211909</v>
      </c>
      <c r="BI69" s="205"/>
      <c r="BJ69" s="182"/>
      <c r="BK69" s="320">
        <f t="shared" si="30"/>
        <v>475000</v>
      </c>
      <c r="BL69" s="321"/>
      <c r="BM69" s="320">
        <v>475000</v>
      </c>
      <c r="BN69" s="321"/>
    </row>
    <row r="70" spans="2:66" ht="17.100000000000001" customHeight="1">
      <c r="B70" s="306"/>
      <c r="C70" s="208"/>
      <c r="D70" s="192" t="s">
        <v>188</v>
      </c>
      <c r="E70" s="365">
        <f t="shared" si="5"/>
        <v>1.2483899999999998E-3</v>
      </c>
      <c r="F70" s="365">
        <f t="shared" si="40"/>
        <v>1.3893538406748727E-3</v>
      </c>
      <c r="G70" s="365">
        <f t="shared" si="41"/>
        <v>0</v>
      </c>
      <c r="H70" s="365"/>
      <c r="I70" s="370">
        <f t="shared" si="42"/>
        <v>0</v>
      </c>
      <c r="J70" s="327">
        <f t="shared" si="9"/>
        <v>249946.02611240346</v>
      </c>
      <c r="K70" s="327">
        <v>249946.02611240346</v>
      </c>
      <c r="L70" s="327"/>
      <c r="M70" s="327"/>
      <c r="N70" s="328"/>
      <c r="O70" s="327">
        <f t="shared" si="35"/>
        <v>258269</v>
      </c>
      <c r="P70" s="327">
        <v>258269</v>
      </c>
      <c r="Q70" s="327"/>
      <c r="R70" s="327"/>
      <c r="S70" s="328"/>
      <c r="T70" s="327">
        <f t="shared" si="10"/>
        <v>415000</v>
      </c>
      <c r="U70" s="193">
        <v>415000</v>
      </c>
      <c r="V70" s="193"/>
      <c r="W70" s="193"/>
      <c r="X70" s="194"/>
      <c r="Y70" s="327">
        <f t="shared" si="36"/>
        <v>102824.79086879997</v>
      </c>
      <c r="Z70" s="342">
        <v>102824.79086879997</v>
      </c>
      <c r="AA70" s="327">
        <v>0</v>
      </c>
      <c r="AB70" s="327"/>
      <c r="AC70" s="328"/>
      <c r="AD70" s="327">
        <f t="shared" si="37"/>
        <v>287994</v>
      </c>
      <c r="AE70" s="327">
        <v>287994</v>
      </c>
      <c r="AF70" s="327"/>
      <c r="AG70" s="327"/>
      <c r="AH70" s="328"/>
      <c r="AI70" s="193">
        <v>762862</v>
      </c>
      <c r="AJ70" s="193">
        <f t="shared" si="38"/>
        <v>762862</v>
      </c>
      <c r="AK70" s="193"/>
      <c r="AL70" s="193"/>
      <c r="AM70" s="194"/>
      <c r="AN70" s="327">
        <f t="shared" si="14"/>
        <v>225247</v>
      </c>
      <c r="AO70" s="327">
        <v>225247</v>
      </c>
      <c r="AP70" s="327"/>
      <c r="AQ70" s="327"/>
      <c r="AR70" s="328"/>
      <c r="AS70" s="327">
        <f t="shared" si="15"/>
        <v>165000</v>
      </c>
      <c r="AT70" s="327">
        <v>165000</v>
      </c>
      <c r="AU70" s="327">
        <v>0</v>
      </c>
      <c r="AV70" s="327">
        <v>0</v>
      </c>
      <c r="AW70" s="328">
        <v>0</v>
      </c>
      <c r="AX70" s="327">
        <f t="shared" si="39"/>
        <v>392938657.24751705</v>
      </c>
      <c r="AY70" s="327">
        <v>392938657.24751705</v>
      </c>
      <c r="AZ70" s="327"/>
      <c r="BA70" s="327"/>
      <c r="BB70" s="328"/>
      <c r="BC70" s="328"/>
      <c r="BD70" s="182"/>
      <c r="BE70" s="212">
        <f>총괄표!D25</f>
        <v>553511154</v>
      </c>
      <c r="BF70" s="533" t="s">
        <v>237</v>
      </c>
      <c r="BG70" s="535"/>
      <c r="BH70" s="204">
        <f>SUM(BH66:BH69)</f>
        <v>553511154</v>
      </c>
      <c r="BI70" s="205"/>
      <c r="BJ70" s="182"/>
      <c r="BK70" s="320">
        <f t="shared" si="30"/>
        <v>415000</v>
      </c>
      <c r="BL70" s="321"/>
      <c r="BM70" s="320">
        <v>415000</v>
      </c>
      <c r="BN70" s="321"/>
    </row>
    <row r="71" spans="2:66" ht="17.100000000000001" customHeight="1">
      <c r="B71" s="306"/>
      <c r="C71" s="208"/>
      <c r="D71" s="192" t="s">
        <v>189</v>
      </c>
      <c r="E71" s="365">
        <f t="shared" si="5"/>
        <v>2.1310899999999997E-2</v>
      </c>
      <c r="F71" s="365">
        <f t="shared" si="40"/>
        <v>2.3717252431722572E-2</v>
      </c>
      <c r="G71" s="365">
        <f t="shared" si="41"/>
        <v>0</v>
      </c>
      <c r="H71" s="365"/>
      <c r="I71" s="370">
        <f t="shared" si="42"/>
        <v>0</v>
      </c>
      <c r="J71" s="327">
        <f t="shared" si="9"/>
        <v>4266755.3952521402</v>
      </c>
      <c r="K71" s="327">
        <v>4266755.3952521402</v>
      </c>
      <c r="L71" s="327"/>
      <c r="M71" s="327"/>
      <c r="N71" s="328"/>
      <c r="O71" s="327">
        <f t="shared" si="35"/>
        <v>0</v>
      </c>
      <c r="P71" s="327">
        <v>0</v>
      </c>
      <c r="Q71" s="327"/>
      <c r="R71" s="327"/>
      <c r="S71" s="328"/>
      <c r="T71" s="327">
        <f t="shared" si="10"/>
        <v>1178000</v>
      </c>
      <c r="U71" s="193">
        <v>1178000</v>
      </c>
      <c r="V71" s="193"/>
      <c r="W71" s="193"/>
      <c r="X71" s="194"/>
      <c r="Y71" s="327">
        <f t="shared" si="36"/>
        <v>1755291.8845279994</v>
      </c>
      <c r="Z71" s="342">
        <v>1755291.8845279994</v>
      </c>
      <c r="AA71" s="327">
        <v>0</v>
      </c>
      <c r="AB71" s="327"/>
      <c r="AC71" s="328"/>
      <c r="AD71" s="327">
        <f t="shared" si="37"/>
        <v>1172803</v>
      </c>
      <c r="AE71" s="327">
        <v>1172803</v>
      </c>
      <c r="AF71" s="327"/>
      <c r="AG71" s="327"/>
      <c r="AH71" s="328"/>
      <c r="AI71" s="193">
        <v>0</v>
      </c>
      <c r="AJ71" s="193">
        <f t="shared" si="38"/>
        <v>0</v>
      </c>
      <c r="AK71" s="193"/>
      <c r="AL71" s="193"/>
      <c r="AM71" s="194"/>
      <c r="AN71" s="327">
        <f t="shared" si="14"/>
        <v>917285</v>
      </c>
      <c r="AO71" s="327">
        <v>917285</v>
      </c>
      <c r="AP71" s="327"/>
      <c r="AQ71" s="327"/>
      <c r="AR71" s="328"/>
      <c r="AS71" s="327">
        <f t="shared" si="15"/>
        <v>522658</v>
      </c>
      <c r="AT71" s="327">
        <v>522658</v>
      </c>
      <c r="AU71" s="327">
        <v>0</v>
      </c>
      <c r="AV71" s="327">
        <v>0</v>
      </c>
      <c r="AW71" s="328">
        <v>0</v>
      </c>
      <c r="AX71" s="327">
        <f t="shared" si="39"/>
        <v>6188783851.6483936</v>
      </c>
      <c r="AY71" s="327">
        <v>6188783851.6483936</v>
      </c>
      <c r="AZ71" s="327"/>
      <c r="BA71" s="327"/>
      <c r="BB71" s="328"/>
      <c r="BC71" s="328"/>
      <c r="BD71" s="182"/>
      <c r="BE71" s="182"/>
      <c r="BF71" s="182"/>
      <c r="BG71" s="182"/>
      <c r="BH71" s="258" t="s">
        <v>190</v>
      </c>
      <c r="BI71" s="182">
        <f>BE70-BH70</f>
        <v>0</v>
      </c>
      <c r="BJ71" s="182"/>
      <c r="BK71" s="320">
        <f t="shared" si="30"/>
        <v>1178000</v>
      </c>
      <c r="BL71" s="321"/>
      <c r="BM71" s="320">
        <v>1178000</v>
      </c>
      <c r="BN71" s="321"/>
    </row>
    <row r="72" spans="2:66" ht="17.100000000000001" customHeight="1">
      <c r="B72" s="305"/>
      <c r="C72" s="213"/>
      <c r="D72" s="199" t="s">
        <v>144</v>
      </c>
      <c r="E72" s="376">
        <f>SUM(E63:E71)</f>
        <v>0.12609999999999999</v>
      </c>
      <c r="F72" s="366">
        <f t="shared" ref="F72" si="44">Z72/Z$79</f>
        <v>0.14033877178534065</v>
      </c>
      <c r="G72" s="366">
        <f t="shared" ref="G72" si="45">AA72/AA$79</f>
        <v>0</v>
      </c>
      <c r="H72" s="366"/>
      <c r="I72" s="371">
        <f t="shared" ref="I72" si="46">AC72/AC$79</f>
        <v>0</v>
      </c>
      <c r="J72" s="335">
        <f>SUM(J63:J71)</f>
        <v>25247073.344687216</v>
      </c>
      <c r="K72" s="335">
        <f>SUM(K63:K71)</f>
        <v>25247073.344687216</v>
      </c>
      <c r="L72" s="335">
        <v>0</v>
      </c>
      <c r="M72" s="335">
        <v>0</v>
      </c>
      <c r="N72" s="336">
        <v>0</v>
      </c>
      <c r="O72" s="335">
        <f>SUM(O63:O71)</f>
        <v>12074044</v>
      </c>
      <c r="P72" s="335">
        <v>12074044</v>
      </c>
      <c r="Q72" s="335">
        <v>0</v>
      </c>
      <c r="R72" s="335">
        <v>0</v>
      </c>
      <c r="S72" s="336">
        <v>0</v>
      </c>
      <c r="T72" s="335">
        <f>SUM(T63:T71)</f>
        <v>15431000</v>
      </c>
      <c r="U72" s="200">
        <v>15431000</v>
      </c>
      <c r="V72" s="200">
        <f>SUM(V63:V71)</f>
        <v>0</v>
      </c>
      <c r="W72" s="200">
        <f>SUM(W63:W71)</f>
        <v>0</v>
      </c>
      <c r="X72" s="201">
        <f>SUM(X63:X71)</f>
        <v>0</v>
      </c>
      <c r="Y72" s="335">
        <f>SUM(Y63:Y71)</f>
        <v>10386342.511999996</v>
      </c>
      <c r="Z72" s="335">
        <v>10386342.511999996</v>
      </c>
      <c r="AA72" s="335">
        <v>0</v>
      </c>
      <c r="AB72" s="335">
        <v>0</v>
      </c>
      <c r="AC72" s="336">
        <v>0</v>
      </c>
      <c r="AD72" s="335">
        <f>SUM(AD63:AD71)</f>
        <v>17132763</v>
      </c>
      <c r="AE72" s="335">
        <v>17132763</v>
      </c>
      <c r="AF72" s="335">
        <v>0</v>
      </c>
      <c r="AG72" s="335">
        <v>0</v>
      </c>
      <c r="AH72" s="336">
        <v>0</v>
      </c>
      <c r="AI72" s="200">
        <f t="shared" ref="AI72:AS72" si="47">SUM(AI63:AI71)</f>
        <v>24929198</v>
      </c>
      <c r="AJ72" s="200">
        <f t="shared" si="47"/>
        <v>24929198</v>
      </c>
      <c r="AK72" s="200">
        <f t="shared" si="47"/>
        <v>0</v>
      </c>
      <c r="AL72" s="200">
        <f t="shared" si="47"/>
        <v>0</v>
      </c>
      <c r="AM72" s="201">
        <f t="shared" si="47"/>
        <v>0</v>
      </c>
      <c r="AN72" s="335">
        <f t="shared" si="47"/>
        <v>13400000</v>
      </c>
      <c r="AO72" s="335">
        <f t="shared" si="47"/>
        <v>13400000</v>
      </c>
      <c r="AP72" s="335">
        <f t="shared" si="47"/>
        <v>0</v>
      </c>
      <c r="AQ72" s="335">
        <f t="shared" si="47"/>
        <v>0</v>
      </c>
      <c r="AR72" s="336">
        <f t="shared" si="47"/>
        <v>0</v>
      </c>
      <c r="AS72" s="335">
        <f t="shared" si="47"/>
        <v>21300901</v>
      </c>
      <c r="AT72" s="335">
        <v>21300901</v>
      </c>
      <c r="AU72" s="335">
        <f>SUM(AU63:AU71)</f>
        <v>0</v>
      </c>
      <c r="AV72" s="335">
        <f>SUM(AV63:AV71)</f>
        <v>0</v>
      </c>
      <c r="AW72" s="336">
        <f>SUM(AW63:AW71)</f>
        <v>0</v>
      </c>
      <c r="AX72" s="335">
        <f>SUM(AX63:AX71)</f>
        <v>34724167705.461632</v>
      </c>
      <c r="AY72" s="335">
        <v>34724167705.461632</v>
      </c>
      <c r="AZ72" s="335">
        <v>0</v>
      </c>
      <c r="BA72" s="335">
        <v>0</v>
      </c>
      <c r="BB72" s="336">
        <v>0</v>
      </c>
      <c r="BC72" s="336"/>
      <c r="BD72" s="182"/>
      <c r="BE72" s="182"/>
      <c r="BF72" s="182"/>
      <c r="BG72" s="182"/>
      <c r="BH72" s="182"/>
      <c r="BI72" s="182"/>
      <c r="BJ72" s="182"/>
      <c r="BK72" s="320">
        <f>SUM(BK63:BL71)</f>
        <v>15431000</v>
      </c>
      <c r="BL72" s="321"/>
      <c r="BM72" s="320">
        <f>SUM(BM63:BN71)</f>
        <v>15431000</v>
      </c>
      <c r="BN72" s="321"/>
    </row>
    <row r="73" spans="2:66" ht="17.100000000000001" customHeight="1" thickBot="1">
      <c r="B73" s="306"/>
      <c r="C73" s="214" t="s">
        <v>191</v>
      </c>
      <c r="D73" s="215"/>
      <c r="E73" s="365">
        <f t="shared" si="5"/>
        <v>3.8399999999999997E-2</v>
      </c>
      <c r="F73" s="365">
        <f t="shared" ref="F73" si="48">Z73/Z$79</f>
        <v>0</v>
      </c>
      <c r="G73" s="365">
        <f t="shared" ref="G73" si="49">AA73/AA$79</f>
        <v>0.91867206181027405</v>
      </c>
      <c r="H73" s="365"/>
      <c r="I73" s="370">
        <f t="shared" ref="I73" si="50">AC73/AC$79</f>
        <v>0</v>
      </c>
      <c r="J73" s="327">
        <f t="shared" si="9"/>
        <v>7688244.3809356801</v>
      </c>
      <c r="K73" s="327">
        <v>0</v>
      </c>
      <c r="L73" s="327">
        <v>7688244.3809356801</v>
      </c>
      <c r="M73" s="327"/>
      <c r="N73" s="328">
        <v>0</v>
      </c>
      <c r="O73" s="327">
        <f>P73+Q73+R73+S73</f>
        <v>12913417</v>
      </c>
      <c r="P73" s="327">
        <v>0</v>
      </c>
      <c r="Q73" s="327"/>
      <c r="R73" s="327"/>
      <c r="S73" s="328">
        <v>12913417</v>
      </c>
      <c r="T73" s="327">
        <f t="shared" si="10"/>
        <v>5757000</v>
      </c>
      <c r="U73" s="193"/>
      <c r="V73" s="327">
        <v>5757000</v>
      </c>
      <c r="W73" s="327"/>
      <c r="X73" s="328">
        <v>0</v>
      </c>
      <c r="Y73" s="327">
        <f t="shared" ref="Y73:Y75" si="51">Z73+AA73+AB73+AC73</f>
        <v>3162851.3279999993</v>
      </c>
      <c r="Z73" s="327">
        <v>0</v>
      </c>
      <c r="AA73" s="327">
        <v>3162851.3279999993</v>
      </c>
      <c r="AB73" s="327"/>
      <c r="AC73" s="328">
        <v>0</v>
      </c>
      <c r="AD73" s="327">
        <f t="shared" ref="AD73:AD75" si="52">AE73+AF73+AG73+AH73</f>
        <v>10555171</v>
      </c>
      <c r="AE73" s="327"/>
      <c r="AF73" s="327">
        <v>10555171</v>
      </c>
      <c r="AG73" s="327"/>
      <c r="AH73" s="328"/>
      <c r="AI73" s="193">
        <v>14739558</v>
      </c>
      <c r="AJ73" s="193">
        <f>AI73-AL73-AM73</f>
        <v>0</v>
      </c>
      <c r="AK73" s="193"/>
      <c r="AL73" s="193"/>
      <c r="AM73" s="194">
        <f>AI73</f>
        <v>14739558</v>
      </c>
      <c r="AN73" s="327">
        <f t="shared" si="14"/>
        <v>7620000</v>
      </c>
      <c r="AO73" s="327"/>
      <c r="AP73" s="327">
        <v>7620000</v>
      </c>
      <c r="AQ73" s="327"/>
      <c r="AR73" s="328"/>
      <c r="AS73" s="327">
        <f t="shared" si="15"/>
        <v>9191402</v>
      </c>
      <c r="AT73" s="327">
        <v>0</v>
      </c>
      <c r="AU73" s="327">
        <v>9191402</v>
      </c>
      <c r="AV73" s="327">
        <v>0</v>
      </c>
      <c r="AW73" s="328">
        <v>0</v>
      </c>
      <c r="AX73" s="327">
        <f t="shared" ref="AX73:AX75" si="53">AY73+AZ73+BA73+BB73</f>
        <v>49505912432.229652</v>
      </c>
      <c r="AY73" s="327">
        <v>0</v>
      </c>
      <c r="AZ73" s="327"/>
      <c r="BA73" s="327"/>
      <c r="BB73" s="328">
        <v>49505912432.229652</v>
      </c>
      <c r="BC73" s="328"/>
      <c r="BD73" s="182"/>
      <c r="BE73" s="182"/>
      <c r="BF73" s="182"/>
      <c r="BG73" s="182"/>
      <c r="BH73" s="182"/>
      <c r="BI73" s="182"/>
      <c r="BJ73" s="317">
        <v>5757000</v>
      </c>
      <c r="BK73" s="318">
        <v>0</v>
      </c>
      <c r="BL73" s="321"/>
      <c r="BM73" s="320"/>
      <c r="BN73" s="321"/>
    </row>
    <row r="74" spans="2:66" ht="17.100000000000001" customHeight="1">
      <c r="B74" s="306"/>
      <c r="C74" s="214" t="s">
        <v>192</v>
      </c>
      <c r="D74" s="215"/>
      <c r="E74" s="365">
        <f t="shared" si="5"/>
        <v>1.2699999999999999E-2</v>
      </c>
      <c r="F74" s="365">
        <f t="shared" ref="F74:F75" si="54">Z74/Z$79</f>
        <v>0</v>
      </c>
      <c r="G74" s="365">
        <f t="shared" ref="G74:G75" si="55">AA74/AA$79</f>
        <v>0</v>
      </c>
      <c r="H74" s="365"/>
      <c r="I74" s="370">
        <f t="shared" ref="I74:I75" si="56">AC74/AC$79</f>
        <v>0.21287103508478616</v>
      </c>
      <c r="J74" s="327">
        <f t="shared" si="9"/>
        <v>2542726.6572365402</v>
      </c>
      <c r="K74" s="327">
        <v>0</v>
      </c>
      <c r="L74" s="327">
        <v>0</v>
      </c>
      <c r="M74" s="327"/>
      <c r="N74" s="328">
        <v>2542726.6572365402</v>
      </c>
      <c r="O74" s="327">
        <f>P74+Q74+R74+S74</f>
        <v>11299239</v>
      </c>
      <c r="P74" s="327">
        <v>0</v>
      </c>
      <c r="Q74" s="327"/>
      <c r="R74" s="327"/>
      <c r="S74" s="328">
        <v>11299239</v>
      </c>
      <c r="T74" s="327">
        <f t="shared" si="10"/>
        <v>2318000</v>
      </c>
      <c r="U74" s="193"/>
      <c r="V74" s="327"/>
      <c r="W74" s="327"/>
      <c r="X74" s="328">
        <v>2318000</v>
      </c>
      <c r="Y74" s="327">
        <f t="shared" si="51"/>
        <v>1046047.1839999998</v>
      </c>
      <c r="Z74" s="327">
        <v>0</v>
      </c>
      <c r="AA74" s="327">
        <v>0</v>
      </c>
      <c r="AB74" s="327"/>
      <c r="AC74" s="328">
        <v>1046047.1839999998</v>
      </c>
      <c r="AD74" s="327">
        <f t="shared" si="52"/>
        <v>9652964</v>
      </c>
      <c r="AE74" s="327"/>
      <c r="AF74" s="327"/>
      <c r="AG74" s="327"/>
      <c r="AH74" s="328">
        <v>9652964</v>
      </c>
      <c r="AI74" s="193">
        <v>11933321</v>
      </c>
      <c r="AJ74" s="193">
        <f>AI74-AL74-AM74</f>
        <v>0</v>
      </c>
      <c r="AK74" s="193"/>
      <c r="AL74" s="193"/>
      <c r="AM74" s="194">
        <f>AI74</f>
        <v>11933321</v>
      </c>
      <c r="AN74" s="327">
        <f t="shared" si="14"/>
        <v>6400000</v>
      </c>
      <c r="AO74" s="327"/>
      <c r="AP74" s="327"/>
      <c r="AQ74" s="327"/>
      <c r="AR74" s="328">
        <v>6400000</v>
      </c>
      <c r="AS74" s="327">
        <f t="shared" si="15"/>
        <v>4613658</v>
      </c>
      <c r="AT74" s="327">
        <v>0</v>
      </c>
      <c r="AU74" s="327">
        <v>0</v>
      </c>
      <c r="AV74" s="327">
        <v>0</v>
      </c>
      <c r="AW74" s="328">
        <v>4613658</v>
      </c>
      <c r="AX74" s="327">
        <f t="shared" si="53"/>
        <v>28301861918.707775</v>
      </c>
      <c r="AY74" s="327">
        <v>0</v>
      </c>
      <c r="AZ74" s="327"/>
      <c r="BA74" s="327"/>
      <c r="BB74" s="328">
        <v>28301861918.707775</v>
      </c>
      <c r="BC74" s="328"/>
      <c r="BD74" s="182"/>
      <c r="BE74" s="182"/>
      <c r="BF74" s="182"/>
      <c r="BG74" s="216" t="s">
        <v>193</v>
      </c>
      <c r="BH74" s="217">
        <f>+BH63/BE70</f>
        <v>0.28849469761543411</v>
      </c>
      <c r="BI74" s="182"/>
      <c r="BJ74" s="317"/>
      <c r="BK74" s="318">
        <v>2318000</v>
      </c>
      <c r="BL74" s="321"/>
      <c r="BM74" s="320"/>
      <c r="BN74" s="321"/>
    </row>
    <row r="75" spans="2:66" ht="17.100000000000001" customHeight="1">
      <c r="B75" s="305"/>
      <c r="C75" s="214" t="s">
        <v>194</v>
      </c>
      <c r="D75" s="215"/>
      <c r="E75" s="365">
        <f t="shared" si="5"/>
        <v>1.4800000000000002E-2</v>
      </c>
      <c r="F75" s="365">
        <f t="shared" si="54"/>
        <v>0</v>
      </c>
      <c r="G75" s="365">
        <f t="shared" si="55"/>
        <v>0</v>
      </c>
      <c r="H75" s="365"/>
      <c r="I75" s="370">
        <f t="shared" si="56"/>
        <v>0.24807018261849101</v>
      </c>
      <c r="J75" s="327">
        <f t="shared" si="9"/>
        <v>2963177.5218189606</v>
      </c>
      <c r="K75" s="327">
        <v>0</v>
      </c>
      <c r="L75" s="327">
        <v>0</v>
      </c>
      <c r="M75" s="327"/>
      <c r="N75" s="328">
        <v>2963177.5218189606</v>
      </c>
      <c r="O75" s="327">
        <f>P75+Q75+R75+S75</f>
        <v>10492151</v>
      </c>
      <c r="P75" s="327">
        <v>0</v>
      </c>
      <c r="Q75" s="327"/>
      <c r="R75" s="327"/>
      <c r="S75" s="328">
        <v>10492151</v>
      </c>
      <c r="T75" s="327">
        <f t="shared" si="10"/>
        <v>5843000</v>
      </c>
      <c r="U75" s="193"/>
      <c r="V75" s="193"/>
      <c r="W75" s="327"/>
      <c r="X75" s="328">
        <v>5843000</v>
      </c>
      <c r="Y75" s="327">
        <f t="shared" si="51"/>
        <v>1219015.6159999999</v>
      </c>
      <c r="Z75" s="327">
        <v>0</v>
      </c>
      <c r="AA75" s="327">
        <v>0</v>
      </c>
      <c r="AB75" s="327"/>
      <c r="AC75" s="328">
        <v>1219015.6159999999</v>
      </c>
      <c r="AD75" s="327">
        <f t="shared" si="52"/>
        <v>9259790</v>
      </c>
      <c r="AE75" s="327"/>
      <c r="AF75" s="327"/>
      <c r="AG75" s="327"/>
      <c r="AH75" s="328">
        <v>9259790</v>
      </c>
      <c r="AI75" s="193">
        <v>10271374</v>
      </c>
      <c r="AJ75" s="193">
        <f>AI75-AL75-AM75</f>
        <v>0</v>
      </c>
      <c r="AK75" s="193"/>
      <c r="AL75" s="193"/>
      <c r="AM75" s="194">
        <f>AI75</f>
        <v>10271374</v>
      </c>
      <c r="AN75" s="327">
        <f t="shared" si="14"/>
        <v>7680000</v>
      </c>
      <c r="AO75" s="327"/>
      <c r="AP75" s="327"/>
      <c r="AQ75" s="327"/>
      <c r="AR75" s="328">
        <v>7680000</v>
      </c>
      <c r="AS75" s="327">
        <f t="shared" si="15"/>
        <v>7407163</v>
      </c>
      <c r="AT75" s="327">
        <v>0</v>
      </c>
      <c r="AU75" s="327">
        <v>0</v>
      </c>
      <c r="AV75" s="327">
        <v>0</v>
      </c>
      <c r="AW75" s="328">
        <v>7407163</v>
      </c>
      <c r="AX75" s="327">
        <f t="shared" si="53"/>
        <v>29103247921.084591</v>
      </c>
      <c r="AY75" s="327">
        <v>0</v>
      </c>
      <c r="AZ75" s="327"/>
      <c r="BA75" s="327"/>
      <c r="BB75" s="328">
        <v>29103247921.084591</v>
      </c>
      <c r="BC75" s="328"/>
      <c r="BD75" s="182"/>
      <c r="BE75" s="182"/>
      <c r="BF75" s="182"/>
      <c r="BG75" s="218" t="s">
        <v>195</v>
      </c>
      <c r="BH75" s="219">
        <f>+BH66/BE70</f>
        <v>0.32112054601884321</v>
      </c>
      <c r="BI75" s="182"/>
      <c r="BJ75" s="317"/>
      <c r="BK75" s="318">
        <v>5843000</v>
      </c>
      <c r="BL75" s="321"/>
      <c r="BM75" s="320"/>
      <c r="BN75" s="321"/>
    </row>
    <row r="76" spans="2:66" ht="17.100000000000001" customHeight="1">
      <c r="B76" s="307"/>
      <c r="C76" s="504" t="s">
        <v>181</v>
      </c>
      <c r="D76" s="505"/>
      <c r="E76" s="339">
        <f>SUM(E73:E75)</f>
        <v>6.59E-2</v>
      </c>
      <c r="F76" s="367">
        <f t="shared" ref="F76:F79" si="57">Z76/Z$79</f>
        <v>0</v>
      </c>
      <c r="G76" s="367">
        <f t="shared" ref="G76:G79" si="58">AA76/AA$79</f>
        <v>0.91867206181027405</v>
      </c>
      <c r="H76" s="367"/>
      <c r="I76" s="367">
        <f t="shared" ref="I76:I79" si="59">AC76/AC$79</f>
        <v>0.46094121770327717</v>
      </c>
      <c r="J76" s="329">
        <f>SUM(J73:J75)</f>
        <v>13194148.559991181</v>
      </c>
      <c r="K76" s="329">
        <f>SUM(K73:K75)</f>
        <v>0</v>
      </c>
      <c r="L76" s="329">
        <f t="shared" ref="L76" si="60">SUM(L73:L75)</f>
        <v>7688244.3809356801</v>
      </c>
      <c r="M76" s="329">
        <f t="shared" ref="M76" si="61">SUM(M73:M75)</f>
        <v>0</v>
      </c>
      <c r="N76" s="329">
        <f t="shared" ref="N76" si="62">SUM(N73:N75)</f>
        <v>5505904.1790555008</v>
      </c>
      <c r="O76" s="329">
        <f>SUM(O73:O75)</f>
        <v>34704807</v>
      </c>
      <c r="P76" s="329">
        <f>SUM(P73:P75)</f>
        <v>0</v>
      </c>
      <c r="Q76" s="329">
        <f t="shared" ref="Q76" si="63">SUM(Q73:Q75)</f>
        <v>0</v>
      </c>
      <c r="R76" s="329">
        <f t="shared" ref="R76" si="64">SUM(R73:R75)</f>
        <v>0</v>
      </c>
      <c r="S76" s="329">
        <f t="shared" ref="S76" si="65">SUM(S73:S75)</f>
        <v>34704807</v>
      </c>
      <c r="T76" s="329">
        <f t="shared" ref="T76:AE76" si="66">SUM(T73:T75)</f>
        <v>13918000</v>
      </c>
      <c r="U76" s="329">
        <f t="shared" si="66"/>
        <v>0</v>
      </c>
      <c r="V76" s="329">
        <f t="shared" si="66"/>
        <v>5757000</v>
      </c>
      <c r="W76" s="329">
        <f t="shared" si="66"/>
        <v>0</v>
      </c>
      <c r="X76" s="330">
        <f t="shared" si="66"/>
        <v>8161000</v>
      </c>
      <c r="Y76" s="329">
        <f t="shared" si="66"/>
        <v>5427914.1279999986</v>
      </c>
      <c r="Z76" s="329">
        <f t="shared" si="66"/>
        <v>0</v>
      </c>
      <c r="AA76" s="329">
        <f t="shared" si="66"/>
        <v>3162851.3279999993</v>
      </c>
      <c r="AB76" s="329">
        <f t="shared" si="66"/>
        <v>0</v>
      </c>
      <c r="AC76" s="329">
        <f t="shared" si="66"/>
        <v>2265062.7999999998</v>
      </c>
      <c r="AD76" s="329">
        <f t="shared" si="66"/>
        <v>29467925</v>
      </c>
      <c r="AE76" s="329">
        <f t="shared" si="66"/>
        <v>0</v>
      </c>
      <c r="AF76" s="329">
        <f t="shared" ref="AF76" si="67">SUM(AF73:AF75)</f>
        <v>10555171</v>
      </c>
      <c r="AG76" s="329">
        <f t="shared" ref="AG76" si="68">SUM(AG73:AG75)</f>
        <v>0</v>
      </c>
      <c r="AH76" s="329">
        <f t="shared" ref="AH76" si="69">SUM(AH73:AH75)</f>
        <v>18912754</v>
      </c>
      <c r="AI76" s="301">
        <f>SUM(AI72,AI62,AI38)+SUM(AI73:AI75)</f>
        <v>245205222</v>
      </c>
      <c r="AJ76" s="301">
        <f t="shared" ref="AJ76:AM76" si="70">SUM(AJ72,AJ62,AJ38)+SUM(AJ73:AJ75)</f>
        <v>208260969</v>
      </c>
      <c r="AK76" s="301">
        <f t="shared" ref="AK76" si="71">SUM(AK72,AK62,AK38)+SUM(AK73:AK75)</f>
        <v>0</v>
      </c>
      <c r="AL76" s="301">
        <f t="shared" si="70"/>
        <v>0</v>
      </c>
      <c r="AM76" s="302">
        <f t="shared" si="70"/>
        <v>36944253</v>
      </c>
      <c r="AN76" s="329">
        <f>SUM(AN73:AN75)</f>
        <v>21700000</v>
      </c>
      <c r="AO76" s="329">
        <f>SUM(AO73:AO75)</f>
        <v>0</v>
      </c>
      <c r="AP76" s="329">
        <f t="shared" ref="AP76:AR76" si="72">SUM(AP73:AP75)</f>
        <v>7620000</v>
      </c>
      <c r="AQ76" s="329">
        <f t="shared" si="72"/>
        <v>0</v>
      </c>
      <c r="AR76" s="329">
        <f t="shared" si="72"/>
        <v>14080000</v>
      </c>
      <c r="AS76" s="329">
        <f>SUM(AS73:AS75)</f>
        <v>21212223</v>
      </c>
      <c r="AT76" s="329">
        <f t="shared" ref="AT76" si="73">SUM(AT73:AT75)</f>
        <v>0</v>
      </c>
      <c r="AU76" s="329">
        <f t="shared" ref="AU76" si="74">SUM(AU73:AU75)</f>
        <v>9191402</v>
      </c>
      <c r="AV76" s="329">
        <f t="shared" ref="AV76" si="75">SUM(AV73:AV75)</f>
        <v>0</v>
      </c>
      <c r="AW76" s="329">
        <f t="shared" ref="AW76" si="76">SUM(AW73:AW75)</f>
        <v>12020821</v>
      </c>
      <c r="AX76" s="329">
        <f>SUM(AX73:AX75)</f>
        <v>106911022272.02202</v>
      </c>
      <c r="AY76" s="329">
        <f>SUM(AY73:AY75)</f>
        <v>0</v>
      </c>
      <c r="AZ76" s="329">
        <f>SUM(AZ73:AZ75)</f>
        <v>0</v>
      </c>
      <c r="BA76" s="329">
        <f>SUM(BA73:BA75)</f>
        <v>0</v>
      </c>
      <c r="BB76" s="329">
        <f>SUM(BB73:BB75)</f>
        <v>106911022272.02202</v>
      </c>
      <c r="BC76" s="329"/>
      <c r="BD76" s="182"/>
      <c r="BE76" s="182"/>
      <c r="BF76" s="182"/>
      <c r="BG76" s="218" t="s">
        <v>196</v>
      </c>
      <c r="BH76" s="219">
        <f>+BH68/BE70</f>
        <v>0.30557119902230551</v>
      </c>
      <c r="BI76" s="182"/>
      <c r="BJ76" s="317">
        <f>SUM(BJ73:BJ75)</f>
        <v>5757000</v>
      </c>
      <c r="BK76" s="318">
        <f>SUM(BK73:BK75)</f>
        <v>8161000</v>
      </c>
      <c r="BL76" s="321"/>
      <c r="BM76" s="320">
        <f>BM72+BM62+BM38</f>
        <v>111568000</v>
      </c>
      <c r="BN76" s="321"/>
    </row>
    <row r="77" spans="2:66" ht="17.100000000000001" customHeight="1" thickBot="1">
      <c r="B77" s="220" t="s">
        <v>197</v>
      </c>
      <c r="C77" s="221"/>
      <c r="D77" s="215"/>
      <c r="E77" s="368">
        <f t="shared" si="5"/>
        <v>6.2300000000000008E-2</v>
      </c>
      <c r="F77" s="368">
        <f t="shared" si="57"/>
        <v>4.5067554032096523E-2</v>
      </c>
      <c r="G77" s="368">
        <f t="shared" si="58"/>
        <v>2.9045692210616429E-2</v>
      </c>
      <c r="H77" s="368"/>
      <c r="I77" s="372">
        <f t="shared" si="59"/>
        <v>0.34513444048424974</v>
      </c>
      <c r="J77" s="331">
        <f t="shared" si="9"/>
        <v>12473375.649278464</v>
      </c>
      <c r="K77" s="331">
        <f>J77*0.65</f>
        <v>8107694.1720310021</v>
      </c>
      <c r="L77" s="331">
        <f>J77*0.02</f>
        <v>249467.51298556928</v>
      </c>
      <c r="M77" s="340">
        <v>0</v>
      </c>
      <c r="N77" s="332">
        <f>J77-K77-L77</f>
        <v>4116213.9642618923</v>
      </c>
      <c r="O77" s="331">
        <f>P77+Q77+R77+S77</f>
        <v>8070885</v>
      </c>
      <c r="P77" s="331">
        <v>6053164</v>
      </c>
      <c r="Q77" s="331"/>
      <c r="R77" s="340">
        <v>0</v>
      </c>
      <c r="S77" s="332">
        <v>2017721</v>
      </c>
      <c r="T77" s="331">
        <f t="shared" si="10"/>
        <v>9213000</v>
      </c>
      <c r="U77" s="244">
        <v>8191161</v>
      </c>
      <c r="V77" s="331">
        <v>422670</v>
      </c>
      <c r="W77" s="331"/>
      <c r="X77" s="332">
        <v>599169</v>
      </c>
      <c r="Y77" s="331">
        <f t="shared" ref="Y77:Y78" si="77">Z77+AA77+AB77+AC77</f>
        <v>5131396.8159999996</v>
      </c>
      <c r="Z77" s="331">
        <v>3335407.9304</v>
      </c>
      <c r="AA77" s="331">
        <v>100000</v>
      </c>
      <c r="AB77" s="340">
        <v>0</v>
      </c>
      <c r="AC77" s="332">
        <v>1695988.8855999997</v>
      </c>
      <c r="AD77" s="331">
        <f t="shared" ref="AD77:AD78" si="78">AE77+AF77+AG77+AH77</f>
        <v>12296222</v>
      </c>
      <c r="AE77" s="331">
        <v>10286849</v>
      </c>
      <c r="AF77" s="331">
        <v>719741</v>
      </c>
      <c r="AG77" s="340">
        <v>0</v>
      </c>
      <c r="AH77" s="332">
        <v>1289632</v>
      </c>
      <c r="AI77" s="193">
        <v>13622512</v>
      </c>
      <c r="AJ77" s="244">
        <v>11570054</v>
      </c>
      <c r="AK77" s="244"/>
      <c r="AL77" s="244"/>
      <c r="AM77" s="245">
        <v>2052458</v>
      </c>
      <c r="AN77" s="331">
        <f t="shared" si="14"/>
        <v>8000000</v>
      </c>
      <c r="AO77" s="331">
        <v>6664000</v>
      </c>
      <c r="AP77" s="331">
        <v>469139</v>
      </c>
      <c r="AQ77" s="340">
        <v>0</v>
      </c>
      <c r="AR77" s="332">
        <v>866861</v>
      </c>
      <c r="AS77" s="331">
        <f t="shared" si="15"/>
        <v>25904120</v>
      </c>
      <c r="AT77" s="331">
        <v>22803454.511971712</v>
      </c>
      <c r="AU77" s="331">
        <v>1343539.6642772516</v>
      </c>
      <c r="AV77" s="331">
        <v>0</v>
      </c>
      <c r="AW77" s="332">
        <v>1757125.8237510379</v>
      </c>
      <c r="AX77" s="331">
        <f t="shared" ref="AX77:AX78" si="79">AY77+AZ77+BA77+BB77</f>
        <v>25179075000</v>
      </c>
      <c r="AY77" s="331">
        <v>19892266206.328583</v>
      </c>
      <c r="AZ77" s="331"/>
      <c r="BA77" s="340">
        <v>0</v>
      </c>
      <c r="BB77" s="332">
        <v>5286808793.6714182</v>
      </c>
      <c r="BC77" s="332"/>
      <c r="BD77" s="182"/>
      <c r="BE77" s="182"/>
      <c r="BF77" s="182"/>
      <c r="BG77" s="222" t="s">
        <v>198</v>
      </c>
      <c r="BH77" s="223">
        <f>+BH67/BE70</f>
        <v>0.36208551996045235</v>
      </c>
      <c r="BI77" s="182"/>
      <c r="BJ77" s="317">
        <v>422670</v>
      </c>
      <c r="BK77" s="318">
        <v>599169</v>
      </c>
      <c r="BL77" s="321"/>
      <c r="BM77" s="320">
        <v>8191161</v>
      </c>
      <c r="BN77" s="321"/>
    </row>
    <row r="78" spans="2:66" ht="17.100000000000001" customHeight="1" thickBot="1">
      <c r="B78" s="224" t="s">
        <v>199</v>
      </c>
      <c r="C78" s="225"/>
      <c r="D78" s="226"/>
      <c r="E78" s="368">
        <f t="shared" si="5"/>
        <v>3.9300000000000009E-2</v>
      </c>
      <c r="F78" s="368">
        <f t="shared" si="57"/>
        <v>2.8429452222494277E-2</v>
      </c>
      <c r="G78" s="373">
        <f t="shared" si="58"/>
        <v>5.2282245979109569E-2</v>
      </c>
      <c r="H78" s="373"/>
      <c r="I78" s="374">
        <f t="shared" si="59"/>
        <v>0.19392434181247317</v>
      </c>
      <c r="J78" s="331">
        <f t="shared" si="9"/>
        <v>7868437.6086138627</v>
      </c>
      <c r="K78" s="331">
        <f>J78*0.65</f>
        <v>5114484.4455990111</v>
      </c>
      <c r="L78" s="333">
        <f>J78*0.06</f>
        <v>472106.25651683175</v>
      </c>
      <c r="M78" s="341">
        <v>0</v>
      </c>
      <c r="N78" s="334">
        <f>J78-K78-L78</f>
        <v>2281846.9064980196</v>
      </c>
      <c r="O78" s="331">
        <f>P78+Q78+R78+S78</f>
        <v>14527594</v>
      </c>
      <c r="P78" s="331">
        <v>10895695</v>
      </c>
      <c r="Q78" s="333"/>
      <c r="R78" s="341">
        <v>0</v>
      </c>
      <c r="S78" s="334">
        <v>3631899</v>
      </c>
      <c r="T78" s="331">
        <f t="shared" si="10"/>
        <v>4766000</v>
      </c>
      <c r="U78" s="244">
        <v>4237390</v>
      </c>
      <c r="V78" s="333">
        <v>218653</v>
      </c>
      <c r="W78" s="333"/>
      <c r="X78" s="334">
        <v>309957</v>
      </c>
      <c r="Y78" s="331">
        <f t="shared" si="77"/>
        <v>3236980.656</v>
      </c>
      <c r="Z78" s="331">
        <v>2104037.4264000002</v>
      </c>
      <c r="AA78" s="333">
        <v>180000</v>
      </c>
      <c r="AB78" s="341">
        <v>0</v>
      </c>
      <c r="AC78" s="334">
        <v>952943.22959999973</v>
      </c>
      <c r="AD78" s="331">
        <f t="shared" si="78"/>
        <v>11450121</v>
      </c>
      <c r="AE78" s="331">
        <v>9579012</v>
      </c>
      <c r="AF78" s="333">
        <v>670216</v>
      </c>
      <c r="AG78" s="341">
        <v>0</v>
      </c>
      <c r="AH78" s="334">
        <v>1200893</v>
      </c>
      <c r="AI78" s="193">
        <v>13622513</v>
      </c>
      <c r="AJ78" s="244">
        <v>11570054</v>
      </c>
      <c r="AK78" s="246"/>
      <c r="AL78" s="246"/>
      <c r="AM78" s="247">
        <v>2052459</v>
      </c>
      <c r="AN78" s="331">
        <f t="shared" si="14"/>
        <v>8000000</v>
      </c>
      <c r="AO78" s="331">
        <v>6664000</v>
      </c>
      <c r="AP78" s="333">
        <v>469139</v>
      </c>
      <c r="AQ78" s="341">
        <v>0</v>
      </c>
      <c r="AR78" s="334">
        <v>866861</v>
      </c>
      <c r="AS78" s="331">
        <f t="shared" si="15"/>
        <v>11481102</v>
      </c>
      <c r="AT78" s="331">
        <v>10106839.653472399</v>
      </c>
      <c r="AU78" s="333">
        <v>595477.31892119406</v>
      </c>
      <c r="AV78" s="333">
        <v>0</v>
      </c>
      <c r="AW78" s="334">
        <v>778785.0276064073</v>
      </c>
      <c r="AX78" s="331">
        <f t="shared" si="79"/>
        <v>25179075000</v>
      </c>
      <c r="AY78" s="331">
        <v>19892266206.328583</v>
      </c>
      <c r="AZ78" s="333"/>
      <c r="BA78" s="341">
        <v>0</v>
      </c>
      <c r="BB78" s="334">
        <v>5286808793.6714182</v>
      </c>
      <c r="BC78" s="334"/>
      <c r="BD78" s="182"/>
      <c r="BE78" s="182"/>
      <c r="BF78" s="182"/>
      <c r="BG78" s="182"/>
      <c r="BH78" s="182"/>
      <c r="BI78" s="182"/>
      <c r="BJ78" s="317">
        <v>218653</v>
      </c>
      <c r="BK78" s="318">
        <v>309957</v>
      </c>
      <c r="BL78" s="324"/>
      <c r="BM78" s="317">
        <v>4237390</v>
      </c>
      <c r="BN78" s="325"/>
    </row>
    <row r="79" spans="2:66" ht="17.100000000000001" customHeight="1" thickBot="1">
      <c r="B79" s="260" t="s">
        <v>200</v>
      </c>
      <c r="C79" s="261"/>
      <c r="D79" s="262"/>
      <c r="E79" s="377">
        <f>E78+E77+E76+E72+E62+E38</f>
        <v>0.99999999999999989</v>
      </c>
      <c r="F79" s="369">
        <f t="shared" si="57"/>
        <v>1</v>
      </c>
      <c r="G79" s="369">
        <f t="shared" si="58"/>
        <v>1</v>
      </c>
      <c r="H79" s="369"/>
      <c r="I79" s="375">
        <f t="shared" si="59"/>
        <v>1</v>
      </c>
      <c r="J79" s="379">
        <v>200214697.42020002</v>
      </c>
      <c r="K79" s="263">
        <f t="shared" ref="K79:U79" si="80">K78+K77+K76+K72+K62+K38</f>
        <v>179900914.2199465</v>
      </c>
      <c r="L79" s="263">
        <f t="shared" si="80"/>
        <v>8409818.1504380815</v>
      </c>
      <c r="M79" s="263">
        <f t="shared" si="80"/>
        <v>0</v>
      </c>
      <c r="N79" s="314">
        <f t="shared" si="80"/>
        <v>11903965.049815413</v>
      </c>
      <c r="O79" s="263">
        <f t="shared" si="80"/>
        <v>161417706</v>
      </c>
      <c r="P79" s="263">
        <f t="shared" si="80"/>
        <v>121063279</v>
      </c>
      <c r="Q79" s="263">
        <f t="shared" si="80"/>
        <v>0</v>
      </c>
      <c r="R79" s="263">
        <f t="shared" si="80"/>
        <v>0</v>
      </c>
      <c r="S79" s="314">
        <f t="shared" si="80"/>
        <v>40354427</v>
      </c>
      <c r="T79" s="263">
        <f t="shared" si="80"/>
        <v>139465000</v>
      </c>
      <c r="U79" s="263">
        <f t="shared" si="80"/>
        <v>123996551</v>
      </c>
      <c r="V79" s="263">
        <f t="shared" ref="V79" si="81">V38+V62+V72+V73+V74+V75+V77+V78</f>
        <v>6398323</v>
      </c>
      <c r="W79" s="263">
        <f t="shared" ref="W79:X79" si="82">W38+W62+W72+W73+W74+W75+W77+W78</f>
        <v>0</v>
      </c>
      <c r="X79" s="314">
        <f t="shared" si="82"/>
        <v>9070126</v>
      </c>
      <c r="Y79" s="263">
        <f t="shared" ref="Y79:AH79" si="83">Y78+Y77+Y76+Y72+Y62+Y38</f>
        <v>82365919.999999985</v>
      </c>
      <c r="Z79" s="263">
        <f t="shared" si="83"/>
        <v>74009073.756799981</v>
      </c>
      <c r="AA79" s="263">
        <f t="shared" si="83"/>
        <v>3442851.3279999993</v>
      </c>
      <c r="AB79" s="263">
        <f t="shared" si="83"/>
        <v>0</v>
      </c>
      <c r="AC79" s="314">
        <f t="shared" si="83"/>
        <v>4913994.9151999988</v>
      </c>
      <c r="AD79" s="263">
        <f t="shared" si="83"/>
        <v>204073260</v>
      </c>
      <c r="AE79" s="263">
        <f t="shared" si="83"/>
        <v>170724853</v>
      </c>
      <c r="AF79" s="263">
        <f t="shared" si="83"/>
        <v>11945128</v>
      </c>
      <c r="AG79" s="263">
        <f t="shared" si="83"/>
        <v>0</v>
      </c>
      <c r="AH79" s="314">
        <f t="shared" si="83"/>
        <v>21403279</v>
      </c>
      <c r="AI79" s="263">
        <f>AI38+AI62+AI72+AI73+AI74+AI75+AI77+AI78</f>
        <v>272450247</v>
      </c>
      <c r="AJ79" s="263">
        <f t="shared" ref="AJ79:AM80" si="84">AJ38+AJ62+AJ72+AJ73+AJ74+AJ75+AJ77+AJ78</f>
        <v>231401077</v>
      </c>
      <c r="AK79" s="263">
        <f t="shared" ref="AK79:AK80" si="85">AK38+AK62+AK72+AK73+AK74+AK75+AK77+AK78</f>
        <v>0</v>
      </c>
      <c r="AL79" s="263">
        <f t="shared" si="84"/>
        <v>0</v>
      </c>
      <c r="AM79" s="314">
        <f t="shared" si="84"/>
        <v>41049170</v>
      </c>
      <c r="AN79" s="263">
        <f t="shared" ref="AN79:AT79" si="86">AN78+AN77+AN76+AN72+AN62+AN38</f>
        <v>147794836</v>
      </c>
      <c r="AO79" s="263">
        <f t="shared" si="86"/>
        <v>123422836</v>
      </c>
      <c r="AP79" s="263">
        <f t="shared" si="86"/>
        <v>8558278</v>
      </c>
      <c r="AQ79" s="263">
        <f t="shared" si="86"/>
        <v>0</v>
      </c>
      <c r="AR79" s="314">
        <f t="shared" si="86"/>
        <v>15813722</v>
      </c>
      <c r="AS79" s="263">
        <f t="shared" si="86"/>
        <v>214600072</v>
      </c>
      <c r="AT79" s="263">
        <f t="shared" si="86"/>
        <v>188912921.16544411</v>
      </c>
      <c r="AU79" s="263">
        <f t="shared" ref="AU79:AU80" si="87">AU38+AU62+AU72+AU73+AU74+AU75+AU77+AU78</f>
        <v>11130418.983198445</v>
      </c>
      <c r="AV79" s="263">
        <f t="shared" ref="AV79:AW80" si="88">AV38+AV62+AV72+AV73+AV74+AV75+AV77+AV78</f>
        <v>0</v>
      </c>
      <c r="AW79" s="314">
        <f t="shared" si="88"/>
        <v>14556731.851357445</v>
      </c>
      <c r="AX79" s="263">
        <f>AX78+AX77+AX76+AX72+AX62+AX38</f>
        <v>559535000000</v>
      </c>
      <c r="AY79" s="263">
        <f>AY78+AY77+AY76+AY72+AY62+AY38</f>
        <v>442050360140.63513</v>
      </c>
      <c r="AZ79" s="263">
        <f>AZ78+AZ77+AZ76+AZ72+AZ62+AZ38</f>
        <v>0</v>
      </c>
      <c r="BA79" s="263">
        <f>BA78+BA77+BA76+BA72+BA62+BA38</f>
        <v>0</v>
      </c>
      <c r="BB79" s="314">
        <f>BB78+BB77+BB76+BB72+BB62+BB38</f>
        <v>117484639859.36485</v>
      </c>
      <c r="BC79" s="314"/>
      <c r="BD79" s="182"/>
      <c r="BE79" s="182"/>
      <c r="BF79" s="182"/>
      <c r="BG79" s="182"/>
      <c r="BH79" s="182"/>
      <c r="BI79" s="182"/>
      <c r="BJ79" s="182"/>
      <c r="BK79" s="319">
        <f t="shared" ref="BK79" si="89">BM79+BO79+BP79+BQ79</f>
        <v>123996551</v>
      </c>
      <c r="BL79" s="326"/>
      <c r="BM79" s="319">
        <f>BM78+BM77+BM75+BM74+BM73+BM72+BM62+BM38</f>
        <v>123996551</v>
      </c>
      <c r="BN79" s="326"/>
    </row>
    <row r="80" spans="2:66" ht="17.100000000000001" customHeight="1" thickBot="1">
      <c r="B80" s="260" t="s">
        <v>389</v>
      </c>
      <c r="C80" s="261"/>
      <c r="D80" s="262"/>
      <c r="E80" s="263">
        <f>E79/E$13</f>
        <v>1.6120988275523976E-5</v>
      </c>
      <c r="F80" s="263"/>
      <c r="G80" s="263"/>
      <c r="H80" s="263"/>
      <c r="I80" s="314"/>
      <c r="J80" s="263">
        <f>J79/J$13</f>
        <v>3227.6587896986252</v>
      </c>
      <c r="K80" s="263"/>
      <c r="L80" s="263"/>
      <c r="M80" s="263"/>
      <c r="N80" s="314"/>
      <c r="O80" s="263">
        <f>O79/O$13</f>
        <v>3003.5076744234734</v>
      </c>
      <c r="P80" s="263">
        <f>P79+P78+P77+P73+P63+P39</f>
        <v>143221538</v>
      </c>
      <c r="Q80" s="263">
        <f>Q79+Q78+Q77+Q73+Q63+Q39</f>
        <v>0</v>
      </c>
      <c r="R80" s="263">
        <f>R79+R78+R77+R73+R63+R39</f>
        <v>0</v>
      </c>
      <c r="S80" s="314">
        <f>S79+S78+S77+S73+S63+S39</f>
        <v>58917464</v>
      </c>
      <c r="T80" s="263">
        <f>T79/T$13</f>
        <v>2999.3561760565835</v>
      </c>
      <c r="U80" s="263"/>
      <c r="V80" s="263"/>
      <c r="W80" s="263"/>
      <c r="X80" s="314"/>
      <c r="Y80" s="263">
        <f>Y79/Y$13</f>
        <v>3593.2311382118073</v>
      </c>
      <c r="Z80" s="263">
        <f>Z79+Z78+Z77+Z73+Z63+Z39</f>
        <v>83702917.383467183</v>
      </c>
      <c r="AA80" s="263">
        <f>AA79+AA78+AA77+AA73+AA63+AA39</f>
        <v>6885702.6559999986</v>
      </c>
      <c r="AB80" s="263">
        <f>AB79+AB78+AB77+AB73+AB63+AB39</f>
        <v>0</v>
      </c>
      <c r="AC80" s="314">
        <f>AC79+AC78+AC77+AC73+AC63+AC39</f>
        <v>7562927.0303999977</v>
      </c>
      <c r="AD80" s="263">
        <f>AD79/AD$13</f>
        <v>3391.2334596015626</v>
      </c>
      <c r="AE80" s="263">
        <f>AE79+AE78+AE77+AE73+AE63+AE39</f>
        <v>198773826</v>
      </c>
      <c r="AF80" s="263">
        <f>AF79+AF78+AF77+AF73+AF63+AF39</f>
        <v>23890256</v>
      </c>
      <c r="AG80" s="263">
        <f>AG79+AG78+AG77+AG73+AG63+AG39</f>
        <v>0</v>
      </c>
      <c r="AH80" s="314">
        <f>AH79+AH78+AH77+AH73+AH63+AH39</f>
        <v>23893804</v>
      </c>
      <c r="AI80" s="263">
        <f>AI79/AI$13</f>
        <v>3169.8896184731207</v>
      </c>
      <c r="AJ80" s="263">
        <f t="shared" si="84"/>
        <v>463437871</v>
      </c>
      <c r="AK80" s="263">
        <f t="shared" si="85"/>
        <v>0</v>
      </c>
      <c r="AL80" s="263">
        <f t="shared" si="84"/>
        <v>0</v>
      </c>
      <c r="AM80" s="314">
        <f t="shared" si="84"/>
        <v>116990135</v>
      </c>
      <c r="AN80" s="263">
        <f>AN79/AN$13</f>
        <v>3394.9847176511707</v>
      </c>
      <c r="AO80" s="263">
        <f>AO79+AO78+AO77+AO73+AO63+AO39</f>
        <v>142921148</v>
      </c>
      <c r="AP80" s="263">
        <f>AP79+AP78+AP77+AP73+AP63+AP39</f>
        <v>17116556</v>
      </c>
      <c r="AQ80" s="263">
        <f>AQ79+AQ78+AQ77+AQ73+AQ63+AQ39</f>
        <v>0</v>
      </c>
      <c r="AR80" s="314">
        <f>AR79+AR78+AR77+AR73+AR63+AR39</f>
        <v>17547444</v>
      </c>
      <c r="AS80" s="263">
        <f>AS79/AS$13</f>
        <v>3189.9872893549036</v>
      </c>
      <c r="AT80" s="263">
        <f>AT79+AT78+AT77+AT73+AT63+AT39</f>
        <v>229364510.33088821</v>
      </c>
      <c r="AU80" s="263">
        <f t="shared" si="87"/>
        <v>30108700.302119639</v>
      </c>
      <c r="AV80" s="263">
        <f t="shared" si="88"/>
        <v>0</v>
      </c>
      <c r="AW80" s="314">
        <f t="shared" si="88"/>
        <v>39377158.878963858</v>
      </c>
      <c r="AX80" s="263">
        <f>AX79/AX$13</f>
        <v>3967435.5755466302</v>
      </c>
      <c r="AY80" s="263">
        <f>AY79+AY78+AY77+AY73+AY63+AY39</f>
        <v>505981879386.81769</v>
      </c>
      <c r="AZ80" s="263">
        <f>AZ79+AZ78+AZ77+AZ73+AZ63+AZ39</f>
        <v>0</v>
      </c>
      <c r="BA80" s="263">
        <f>BA79+BA78+BA77+BA73+BA63+BA39</f>
        <v>0</v>
      </c>
      <c r="BB80" s="314">
        <f>BB79+BB78+BB77+BB73+BB63+BB39</f>
        <v>177564169878.93735</v>
      </c>
      <c r="BC80" s="314"/>
      <c r="BD80" s="182"/>
      <c r="BE80" s="182"/>
      <c r="BF80" s="182"/>
      <c r="BG80" s="182"/>
      <c r="BH80" s="182"/>
      <c r="BI80" s="182"/>
      <c r="BJ80" s="182"/>
      <c r="BK80" s="319">
        <f t="shared" ref="BK80" si="90">BM80+BO80+BP80+BQ80</f>
        <v>245442941</v>
      </c>
      <c r="BL80" s="326"/>
      <c r="BM80" s="319">
        <f>BM79+BM78+BM76+BM75+BM74+BM73+BM63+BM39</f>
        <v>245442941</v>
      </c>
      <c r="BN80" s="326"/>
    </row>
    <row r="81" spans="5:62" ht="17.100000000000001" customHeight="1">
      <c r="E81" s="8"/>
      <c r="F81" s="227"/>
      <c r="G81" s="227"/>
      <c r="H81" s="227"/>
      <c r="I81" s="227"/>
      <c r="J81" s="8"/>
      <c r="K81" s="227"/>
      <c r="L81" s="227"/>
      <c r="M81" s="227"/>
      <c r="N81" s="227"/>
      <c r="O81" s="8"/>
      <c r="P81" s="227"/>
      <c r="Q81" s="227"/>
      <c r="R81" s="227"/>
      <c r="S81" s="227"/>
      <c r="T81" s="8"/>
      <c r="U81" s="227"/>
      <c r="V81" s="227"/>
      <c r="W81" s="227"/>
      <c r="X81" s="227"/>
      <c r="Y81" s="8"/>
      <c r="Z81" s="227"/>
      <c r="AA81" s="227"/>
      <c r="AB81" s="227"/>
      <c r="AC81" s="227"/>
      <c r="AD81" s="8"/>
      <c r="AE81" s="227"/>
      <c r="AF81" s="227"/>
      <c r="AG81" s="227"/>
      <c r="AH81" s="227"/>
      <c r="AI81" s="8"/>
      <c r="AJ81" s="227"/>
      <c r="AK81" s="227"/>
      <c r="AL81" s="227"/>
      <c r="AM81" s="227"/>
      <c r="AN81" s="8"/>
      <c r="AO81" s="227"/>
      <c r="AP81" s="227"/>
      <c r="AQ81" s="227"/>
      <c r="AR81" s="227"/>
      <c r="AS81" s="8"/>
      <c r="AT81" s="227"/>
      <c r="AU81" s="227"/>
      <c r="AV81" s="227"/>
      <c r="AW81" s="227"/>
      <c r="AX81" s="8"/>
      <c r="AY81" s="227"/>
      <c r="AZ81" s="227"/>
      <c r="BA81" s="227"/>
      <c r="BB81" s="227"/>
      <c r="BC81" s="227"/>
      <c r="BD81" s="182"/>
      <c r="BE81" s="182"/>
      <c r="BF81" s="182"/>
      <c r="BG81" s="182"/>
      <c r="BH81" s="182"/>
      <c r="BI81" s="182"/>
      <c r="BJ81" s="182"/>
    </row>
    <row r="82" spans="5:62" ht="17.100000000000001" customHeight="1">
      <c r="E82" s="252"/>
      <c r="F82" s="227"/>
      <c r="G82" s="227">
        <f>X79-E79-H79</f>
        <v>9070125</v>
      </c>
      <c r="H82" s="227">
        <f>E79-F79-I79</f>
        <v>-1</v>
      </c>
      <c r="I82" s="227"/>
      <c r="J82" s="380">
        <f>J78+J77+J76+J72+J62+J38</f>
        <v>200214697.42020002</v>
      </c>
      <c r="K82" s="227"/>
      <c r="L82" s="227">
        <f>AC79-J79-M79</f>
        <v>-195300702.50500003</v>
      </c>
      <c r="M82" s="227">
        <f>J79-K79-N79</f>
        <v>8409818.1504381038</v>
      </c>
      <c r="N82" s="227"/>
      <c r="O82" s="252"/>
      <c r="P82" s="227"/>
      <c r="Q82" s="227">
        <f>AH79-O79-R79</f>
        <v>-140014427</v>
      </c>
      <c r="R82" s="227">
        <f>O79-P79-S79</f>
        <v>0</v>
      </c>
      <c r="S82" s="227"/>
      <c r="T82" s="252"/>
      <c r="U82" s="227"/>
      <c r="V82" s="227">
        <f>AM79-T79-W79</f>
        <v>-98415830</v>
      </c>
      <c r="W82" s="227">
        <f>T79-U79-X79</f>
        <v>6398323</v>
      </c>
      <c r="X82" s="227"/>
      <c r="Y82" s="252"/>
      <c r="Z82" s="227"/>
      <c r="AA82" s="227">
        <f>AH79-Y79-AB79</f>
        <v>-60962640.999999985</v>
      </c>
      <c r="AB82" s="227">
        <f>Y79-Z79-AC79</f>
        <v>3442851.3280000053</v>
      </c>
      <c r="AC82" s="227"/>
      <c r="AD82" s="252"/>
      <c r="AE82" s="227"/>
      <c r="AF82" s="227">
        <f>AR79-AD79-AG79</f>
        <v>-188259538</v>
      </c>
      <c r="AG82" s="227">
        <f>AD79-AE79-AH79</f>
        <v>11945128</v>
      </c>
      <c r="AH82" s="227"/>
      <c r="AI82" s="252"/>
      <c r="AJ82" s="227"/>
      <c r="AK82" s="227">
        <f>D79-AI79-AL79</f>
        <v>-272450247</v>
      </c>
      <c r="AL82" s="227">
        <f>AI79-AJ79-AM79</f>
        <v>0</v>
      </c>
      <c r="AM82" s="227"/>
      <c r="AN82" s="252"/>
      <c r="AO82" s="227"/>
      <c r="AP82" s="227">
        <f>AW79-AN79-AQ79</f>
        <v>-133238104.14864255</v>
      </c>
      <c r="AQ82" s="227">
        <f>AN79-AO79-AR79</f>
        <v>8558278</v>
      </c>
      <c r="AR82" s="227"/>
      <c r="AS82" s="252"/>
      <c r="AT82" s="227"/>
      <c r="AU82" s="227">
        <f>X79-AS79-AV79</f>
        <v>-205529946</v>
      </c>
      <c r="AV82" s="227">
        <f>AS79-AT79-AW79</f>
        <v>11130418.983198449</v>
      </c>
      <c r="AW82" s="227"/>
      <c r="AX82" s="252"/>
      <c r="AY82" s="227"/>
      <c r="AZ82" s="227">
        <f>S79-AX79-BA79</f>
        <v>-559494645573</v>
      </c>
      <c r="BA82" s="227">
        <f>AX79-AY79-BB79</f>
        <v>0</v>
      </c>
      <c r="BB82" s="227"/>
      <c r="BC82" s="227"/>
      <c r="BD82" s="182"/>
      <c r="BE82" s="182"/>
      <c r="BF82" s="182"/>
      <c r="BG82" s="182"/>
      <c r="BH82" s="182"/>
      <c r="BI82" s="182"/>
      <c r="BJ82" s="182"/>
    </row>
    <row r="83" spans="5:62" ht="17.100000000000001" customHeight="1">
      <c r="E83" s="253"/>
      <c r="F83" s="227"/>
      <c r="G83" s="227"/>
      <c r="H83" s="227"/>
      <c r="I83" s="227"/>
      <c r="J83" s="378">
        <f>200214697420.2/1000</f>
        <v>200214697.42020002</v>
      </c>
      <c r="K83" s="227"/>
      <c r="L83" s="227"/>
      <c r="M83" s="227"/>
      <c r="N83" s="227"/>
      <c r="O83" s="253"/>
      <c r="P83" s="227"/>
      <c r="Q83" s="227"/>
      <c r="R83" s="227"/>
      <c r="S83" s="227"/>
      <c r="T83" s="253"/>
      <c r="U83" s="227"/>
      <c r="V83" s="227"/>
      <c r="W83" s="227"/>
      <c r="X83" s="227"/>
      <c r="Y83" s="253"/>
      <c r="Z83" s="227"/>
      <c r="AA83" s="227"/>
      <c r="AB83" s="227"/>
      <c r="AC83" s="227"/>
      <c r="AD83" s="253"/>
      <c r="AE83" s="227"/>
      <c r="AF83" s="227"/>
      <c r="AG83" s="227"/>
      <c r="AH83" s="227"/>
      <c r="AI83" s="253"/>
      <c r="AJ83" s="227"/>
      <c r="AK83" s="227"/>
      <c r="AL83" s="227"/>
      <c r="AM83" s="227"/>
      <c r="AN83" s="253"/>
      <c r="AO83" s="227"/>
      <c r="AP83" s="227"/>
      <c r="AQ83" s="227"/>
      <c r="AR83" s="227"/>
      <c r="AS83" s="253"/>
      <c r="AT83" s="227"/>
      <c r="AU83" s="227"/>
      <c r="AV83" s="227"/>
      <c r="AW83" s="227"/>
      <c r="AX83" s="253"/>
      <c r="AY83" s="227"/>
      <c r="AZ83" s="227"/>
      <c r="BA83" s="227"/>
      <c r="BB83" s="227"/>
      <c r="BC83" s="227"/>
      <c r="BD83" s="182"/>
      <c r="BE83" s="182"/>
      <c r="BF83" s="182"/>
      <c r="BG83" s="182"/>
      <c r="BH83" s="182"/>
      <c r="BI83" s="182"/>
      <c r="BJ83" s="182"/>
    </row>
    <row r="84" spans="5:62" ht="17.100000000000001" customHeight="1">
      <c r="Z84" s="381">
        <f>Z77/Y77</f>
        <v>0.65</v>
      </c>
      <c r="AA84" s="381">
        <f>AA77/Y77</f>
        <v>1.9487871155899318E-2</v>
      </c>
      <c r="AB84" s="381"/>
      <c r="AC84" s="381">
        <f>AC77/Y77</f>
        <v>0.33051212884410064</v>
      </c>
      <c r="BD84" s="182"/>
      <c r="BE84" s="182"/>
      <c r="BF84" s="182"/>
      <c r="BG84" s="182"/>
      <c r="BH84" s="182"/>
      <c r="BI84" s="182"/>
      <c r="BJ84" s="182"/>
    </row>
    <row r="85" spans="5:62" ht="17.100000000000001" customHeight="1">
      <c r="Z85" s="381">
        <f>Z78/Y78</f>
        <v>0.65000000000000013</v>
      </c>
      <c r="AA85" s="381">
        <f>AA78/Y78</f>
        <v>5.5607375863169196E-2</v>
      </c>
      <c r="AB85" s="381"/>
      <c r="AC85" s="381">
        <f>AC78/Y78</f>
        <v>0.29439262413683071</v>
      </c>
    </row>
  </sheetData>
  <mergeCells count="25">
    <mergeCell ref="B6:D6"/>
    <mergeCell ref="B7:D7"/>
    <mergeCell ref="B8:D8"/>
    <mergeCell ref="B9:D9"/>
    <mergeCell ref="B10:D10"/>
    <mergeCell ref="B11:D11"/>
    <mergeCell ref="B12:D12"/>
    <mergeCell ref="B13:D13"/>
    <mergeCell ref="C76:D76"/>
    <mergeCell ref="BE63:BE69"/>
    <mergeCell ref="B20:D20"/>
    <mergeCell ref="B21:D21"/>
    <mergeCell ref="B23:D23"/>
    <mergeCell ref="B22:D22"/>
    <mergeCell ref="B14:D14"/>
    <mergeCell ref="B15:D15"/>
    <mergeCell ref="B16:D16"/>
    <mergeCell ref="B17:D17"/>
    <mergeCell ref="B18:D18"/>
    <mergeCell ref="B19:D19"/>
    <mergeCell ref="BF63:BF66"/>
    <mergeCell ref="BF67:BG67"/>
    <mergeCell ref="BF68:BG68"/>
    <mergeCell ref="BF69:BG69"/>
    <mergeCell ref="BF70:BG70"/>
  </mergeCells>
  <phoneticPr fontId="4" type="noConversion"/>
  <printOptions horizontalCentered="1" verticalCentered="1"/>
  <pageMargins left="7.874015748031496E-2" right="7.874015748031496E-2" top="0.74803149606299213" bottom="0.35433070866141736" header="0.47244094488188981" footer="0.47244094488188981"/>
  <pageSetup paperSize="8" scale="34" fitToHeight="0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85"/>
  <sheetViews>
    <sheetView showGridLines="0" showZeros="0" view="pageBreakPreview" topLeftCell="A22" zoomScale="90" zoomScaleNormal="85" zoomScaleSheetLayoutView="90" workbookViewId="0">
      <selection activeCell="J77" sqref="J77:J78"/>
    </sheetView>
  </sheetViews>
  <sheetFormatPr defaultRowHeight="17.100000000000001" customHeight="1" outlineLevelCol="1"/>
  <cols>
    <col min="1" max="1" width="2.77734375" style="179" customWidth="1"/>
    <col min="2" max="2" width="11.44140625" style="179" customWidth="1"/>
    <col min="3" max="3" width="13.44140625" style="179" customWidth="1"/>
    <col min="4" max="4" width="19.6640625" style="180" bestFit="1" customWidth="1"/>
    <col min="5" max="5" width="43.109375" style="181" hidden="1" customWidth="1" outlineLevel="1" collapsed="1"/>
    <col min="6" max="9" width="14.33203125" style="181" hidden="1" customWidth="1" outlineLevel="1"/>
    <col min="10" max="10" width="43.109375" style="181" customWidth="1" collapsed="1"/>
    <col min="11" max="14" width="14.33203125" style="181" hidden="1" customWidth="1" outlineLevel="1"/>
    <col min="15" max="15" width="43.109375" style="181" customWidth="1" collapsed="1"/>
    <col min="16" max="19" width="14.33203125" style="181" hidden="1" customWidth="1" outlineLevel="1"/>
    <col min="20" max="20" width="45.109375" style="181" customWidth="1" collapsed="1"/>
    <col min="21" max="21" width="14.33203125" style="181" hidden="1" customWidth="1" outlineLevel="1"/>
    <col min="22" max="22" width="17.44140625" style="181" hidden="1" customWidth="1" outlineLevel="1"/>
    <col min="23" max="24" width="14.33203125" style="181" hidden="1" customWidth="1" outlineLevel="1"/>
    <col min="25" max="25" width="43.88671875" style="181" customWidth="1" collapsed="1"/>
    <col min="26" max="29" width="14.33203125" style="181" hidden="1" customWidth="1" outlineLevel="1"/>
    <col min="30" max="30" width="48.6640625" style="181" customWidth="1" collapsed="1"/>
    <col min="31" max="34" width="14.33203125" style="181" hidden="1" customWidth="1" outlineLevel="1"/>
    <col min="35" max="35" width="48.77734375" style="181" bestFit="1" customWidth="1" collapsed="1"/>
    <col min="36" max="39" width="14.33203125" style="181" hidden="1" customWidth="1" outlineLevel="1"/>
    <col min="40" max="40" width="42.6640625" style="181" customWidth="1" collapsed="1"/>
    <col min="41" max="44" width="14.33203125" style="181" hidden="1" customWidth="1" outlineLevel="1"/>
    <col min="45" max="45" width="43.5546875" style="181" bestFit="1" customWidth="1" collapsed="1"/>
    <col min="46" max="49" width="14.33203125" style="181" hidden="1" customWidth="1" outlineLevel="1"/>
    <col min="50" max="50" width="45.6640625" style="181" customWidth="1" collapsed="1"/>
    <col min="51" max="54" width="14.33203125" style="181" hidden="1" customWidth="1" outlineLevel="1"/>
    <col min="55" max="55" width="14.33203125" style="181" customWidth="1" collapsed="1"/>
    <col min="56" max="56" width="1.44140625" style="179" customWidth="1"/>
    <col min="57" max="57" width="16" style="179" customWidth="1"/>
    <col min="58" max="58" width="8.88671875" style="179" customWidth="1"/>
    <col min="59" max="59" width="10.88671875" style="179" customWidth="1"/>
    <col min="60" max="60" width="12.77734375" style="179" customWidth="1"/>
    <col min="61" max="61" width="11" style="179" customWidth="1"/>
    <col min="62" max="62" width="11.33203125" style="179" bestFit="1" customWidth="1"/>
    <col min="63" max="63" width="11.21875" style="180" bestFit="1" customWidth="1"/>
    <col min="64" max="64" width="11.21875" style="179" bestFit="1" customWidth="1"/>
    <col min="65" max="16384" width="8.88671875" style="179"/>
  </cols>
  <sheetData>
    <row r="1" spans="2:63" ht="17.100000000000001" customHeight="1">
      <c r="B1" s="179" t="s">
        <v>123</v>
      </c>
      <c r="BD1" s="182"/>
      <c r="BE1" s="182"/>
      <c r="BF1" s="182"/>
      <c r="BG1" s="182"/>
      <c r="BH1" s="182"/>
      <c r="BI1" s="182"/>
      <c r="BJ1" s="182"/>
    </row>
    <row r="2" spans="2:63" ht="17.100000000000001" customHeight="1">
      <c r="BD2" s="182"/>
      <c r="BE2" s="182"/>
      <c r="BF2" s="182"/>
      <c r="BG2" s="182"/>
      <c r="BH2" s="182"/>
      <c r="BI2" s="182"/>
      <c r="BJ2" s="182"/>
    </row>
    <row r="3" spans="2:63" ht="25.5" customHeight="1">
      <c r="B3" s="183" t="s">
        <v>124</v>
      </c>
      <c r="C3" s="184"/>
      <c r="D3" s="185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6"/>
      <c r="AC3" s="186"/>
      <c r="AD3" s="186"/>
      <c r="AE3" s="186"/>
      <c r="AF3" s="186"/>
      <c r="AG3" s="186"/>
      <c r="AH3" s="186"/>
      <c r="AI3" s="186"/>
      <c r="AJ3" s="186"/>
      <c r="AK3" s="186"/>
      <c r="AL3" s="186"/>
      <c r="AM3" s="186"/>
      <c r="AN3" s="186"/>
      <c r="AO3" s="186"/>
      <c r="AP3" s="186"/>
      <c r="AQ3" s="186"/>
      <c r="AR3" s="186"/>
      <c r="AS3" s="186"/>
      <c r="AT3" s="186"/>
      <c r="AU3" s="186"/>
      <c r="AV3" s="186"/>
      <c r="AW3" s="186"/>
      <c r="AX3" s="186"/>
      <c r="AY3" s="186"/>
      <c r="AZ3" s="186"/>
      <c r="BA3" s="186"/>
      <c r="BB3" s="186"/>
      <c r="BC3" s="186"/>
      <c r="BD3" s="182"/>
      <c r="BE3" s="182"/>
      <c r="BF3" s="182"/>
      <c r="BG3" s="182"/>
      <c r="BH3" s="182"/>
      <c r="BI3" s="182"/>
      <c r="BJ3" s="182"/>
    </row>
    <row r="4" spans="2:63" ht="17.100000000000001" customHeight="1" thickBot="1">
      <c r="B4" s="259"/>
      <c r="I4" s="187" t="s">
        <v>2</v>
      </c>
      <c r="N4" s="187" t="s">
        <v>2</v>
      </c>
      <c r="S4" s="187" t="s">
        <v>2</v>
      </c>
      <c r="X4" s="187" t="s">
        <v>2</v>
      </c>
      <c r="AC4" s="187"/>
      <c r="AH4" s="187" t="s">
        <v>2</v>
      </c>
      <c r="AM4" s="187" t="s">
        <v>2</v>
      </c>
      <c r="AR4" s="187" t="s">
        <v>2</v>
      </c>
      <c r="AW4" s="187" t="s">
        <v>2</v>
      </c>
      <c r="BB4" s="187"/>
      <c r="BC4" s="187" t="s">
        <v>2</v>
      </c>
      <c r="BD4" s="182"/>
      <c r="BE4" s="182"/>
      <c r="BF4" s="182"/>
      <c r="BG4" s="182"/>
      <c r="BH4" s="182"/>
      <c r="BI4" s="182"/>
      <c r="BJ4" s="182"/>
    </row>
    <row r="5" spans="2:63" s="188" customFormat="1" ht="37.5" customHeight="1" thickBot="1">
      <c r="B5" s="296" t="s">
        <v>38</v>
      </c>
      <c r="C5" s="297" t="s">
        <v>37</v>
      </c>
      <c r="D5" s="298" t="s">
        <v>36</v>
      </c>
      <c r="E5" s="299" t="s">
        <v>411</v>
      </c>
      <c r="F5" s="299" t="s">
        <v>125</v>
      </c>
      <c r="G5" s="299" t="s">
        <v>298</v>
      </c>
      <c r="H5" s="299" t="s">
        <v>126</v>
      </c>
      <c r="I5" s="300" t="s">
        <v>127</v>
      </c>
      <c r="J5" s="299" t="s">
        <v>412</v>
      </c>
      <c r="K5" s="299" t="s">
        <v>125</v>
      </c>
      <c r="L5" s="299" t="s">
        <v>298</v>
      </c>
      <c r="M5" s="299" t="s">
        <v>126</v>
      </c>
      <c r="N5" s="300" t="s">
        <v>127</v>
      </c>
      <c r="O5" s="299" t="s">
        <v>393</v>
      </c>
      <c r="P5" s="299" t="s">
        <v>125</v>
      </c>
      <c r="Q5" s="299" t="s">
        <v>298</v>
      </c>
      <c r="R5" s="299" t="s">
        <v>126</v>
      </c>
      <c r="S5" s="300" t="s">
        <v>127</v>
      </c>
      <c r="T5" s="299" t="s">
        <v>394</v>
      </c>
      <c r="U5" s="299" t="s">
        <v>125</v>
      </c>
      <c r="V5" s="299" t="s">
        <v>298</v>
      </c>
      <c r="W5" s="299" t="s">
        <v>126</v>
      </c>
      <c r="X5" s="300" t="s">
        <v>127</v>
      </c>
      <c r="Y5" s="299" t="s">
        <v>395</v>
      </c>
      <c r="Z5" s="299" t="s">
        <v>125</v>
      </c>
      <c r="AA5" s="299" t="s">
        <v>298</v>
      </c>
      <c r="AB5" s="299" t="s">
        <v>126</v>
      </c>
      <c r="AC5" s="300" t="s">
        <v>127</v>
      </c>
      <c r="AD5" s="299" t="s">
        <v>396</v>
      </c>
      <c r="AE5" s="299" t="s">
        <v>125</v>
      </c>
      <c r="AF5" s="299" t="s">
        <v>298</v>
      </c>
      <c r="AG5" s="299" t="s">
        <v>126</v>
      </c>
      <c r="AH5" s="300" t="s">
        <v>127</v>
      </c>
      <c r="AI5" s="299" t="s">
        <v>397</v>
      </c>
      <c r="AJ5" s="299" t="s">
        <v>125</v>
      </c>
      <c r="AK5" s="299" t="s">
        <v>298</v>
      </c>
      <c r="AL5" s="299" t="s">
        <v>126</v>
      </c>
      <c r="AM5" s="300" t="s">
        <v>127</v>
      </c>
      <c r="AN5" s="299" t="s">
        <v>398</v>
      </c>
      <c r="AO5" s="299" t="s">
        <v>125</v>
      </c>
      <c r="AP5" s="299" t="s">
        <v>298</v>
      </c>
      <c r="AQ5" s="299" t="s">
        <v>126</v>
      </c>
      <c r="AR5" s="300" t="s">
        <v>127</v>
      </c>
      <c r="AS5" s="299" t="s">
        <v>399</v>
      </c>
      <c r="AT5" s="299" t="s">
        <v>125</v>
      </c>
      <c r="AU5" s="299" t="s">
        <v>298</v>
      </c>
      <c r="AV5" s="299" t="s">
        <v>126</v>
      </c>
      <c r="AW5" s="300" t="s">
        <v>127</v>
      </c>
      <c r="AX5" s="299" t="s">
        <v>400</v>
      </c>
      <c r="AY5" s="299" t="s">
        <v>125</v>
      </c>
      <c r="AZ5" s="299" t="s">
        <v>298</v>
      </c>
      <c r="BA5" s="299" t="s">
        <v>126</v>
      </c>
      <c r="BB5" s="300" t="s">
        <v>127</v>
      </c>
      <c r="BC5" s="300" t="s">
        <v>388</v>
      </c>
      <c r="BD5" s="189"/>
      <c r="BE5" s="189"/>
      <c r="BF5" s="189"/>
      <c r="BG5" s="189"/>
      <c r="BH5" s="189"/>
      <c r="BI5" s="189"/>
      <c r="BJ5" s="189"/>
      <c r="BK5" s="190"/>
    </row>
    <row r="6" spans="2:63" ht="37.5" customHeight="1" thickTop="1">
      <c r="B6" s="545" t="s">
        <v>259</v>
      </c>
      <c r="C6" s="546"/>
      <c r="D6" s="546"/>
      <c r="E6" s="345" t="s">
        <v>401</v>
      </c>
      <c r="F6" s="346"/>
      <c r="G6" s="346"/>
      <c r="H6" s="346"/>
      <c r="I6" s="358"/>
      <c r="J6" s="345" t="s">
        <v>401</v>
      </c>
      <c r="K6" s="346"/>
      <c r="L6" s="346"/>
      <c r="M6" s="346"/>
      <c r="N6" s="358"/>
      <c r="O6" s="345" t="s">
        <v>344</v>
      </c>
      <c r="P6" s="346"/>
      <c r="Q6" s="346"/>
      <c r="R6" s="346"/>
      <c r="S6" s="358"/>
      <c r="T6" s="345" t="s">
        <v>268</v>
      </c>
      <c r="U6" s="346"/>
      <c r="V6" s="346"/>
      <c r="W6" s="346"/>
      <c r="X6" s="347"/>
      <c r="Y6" s="345" t="s">
        <v>373</v>
      </c>
      <c r="Z6" s="346"/>
      <c r="AA6" s="346"/>
      <c r="AB6" s="346"/>
      <c r="AC6" s="347"/>
      <c r="AD6" s="345" t="s">
        <v>329</v>
      </c>
      <c r="AE6" s="346"/>
      <c r="AF6" s="346"/>
      <c r="AG6" s="346"/>
      <c r="AH6" s="347"/>
      <c r="AI6" s="345" t="s">
        <v>283</v>
      </c>
      <c r="AJ6" s="346"/>
      <c r="AK6" s="346"/>
      <c r="AL6" s="346"/>
      <c r="AM6" s="347"/>
      <c r="AN6" s="345" t="s">
        <v>314</v>
      </c>
      <c r="AO6" s="346"/>
      <c r="AP6" s="346"/>
      <c r="AQ6" s="346"/>
      <c r="AR6" s="347"/>
      <c r="AS6" s="345" t="s">
        <v>299</v>
      </c>
      <c r="AT6" s="346"/>
      <c r="AU6" s="346"/>
      <c r="AV6" s="346"/>
      <c r="AW6" s="347"/>
      <c r="AX6" s="345" t="s">
        <v>359</v>
      </c>
      <c r="AY6" s="346"/>
      <c r="AZ6" s="346"/>
      <c r="BA6" s="346"/>
      <c r="BB6" s="358"/>
      <c r="BC6" s="361"/>
      <c r="BD6" s="182"/>
      <c r="BE6" s="182"/>
      <c r="BF6" s="182"/>
      <c r="BG6" s="182"/>
      <c r="BH6" s="182"/>
      <c r="BI6" s="182"/>
      <c r="BJ6" s="182"/>
    </row>
    <row r="7" spans="2:63" ht="37.5" customHeight="1">
      <c r="B7" s="538" t="s">
        <v>260</v>
      </c>
      <c r="C7" s="539"/>
      <c r="D7" s="539"/>
      <c r="E7" s="348" t="s">
        <v>402</v>
      </c>
      <c r="F7" s="349"/>
      <c r="G7" s="349"/>
      <c r="H7" s="349"/>
      <c r="I7" s="359"/>
      <c r="J7" s="348" t="s">
        <v>402</v>
      </c>
      <c r="K7" s="349"/>
      <c r="L7" s="349"/>
      <c r="M7" s="349"/>
      <c r="N7" s="359"/>
      <c r="O7" s="348" t="s">
        <v>413</v>
      </c>
      <c r="P7" s="349"/>
      <c r="Q7" s="349"/>
      <c r="R7" s="349"/>
      <c r="S7" s="359"/>
      <c r="T7" s="348" t="s">
        <v>414</v>
      </c>
      <c r="U7" s="349"/>
      <c r="V7" s="349"/>
      <c r="W7" s="349"/>
      <c r="X7" s="350"/>
      <c r="Y7" s="348" t="s">
        <v>415</v>
      </c>
      <c r="Z7" s="349"/>
      <c r="AA7" s="349"/>
      <c r="AB7" s="349"/>
      <c r="AC7" s="350"/>
      <c r="AD7" s="348" t="s">
        <v>416</v>
      </c>
      <c r="AE7" s="349"/>
      <c r="AF7" s="349"/>
      <c r="AG7" s="349"/>
      <c r="AH7" s="350"/>
      <c r="AI7" s="348" t="s">
        <v>417</v>
      </c>
      <c r="AJ7" s="349"/>
      <c r="AK7" s="349"/>
      <c r="AL7" s="349"/>
      <c r="AM7" s="350"/>
      <c r="AN7" s="348" t="s">
        <v>418</v>
      </c>
      <c r="AO7" s="349"/>
      <c r="AP7" s="349"/>
      <c r="AQ7" s="349"/>
      <c r="AR7" s="350"/>
      <c r="AS7" s="348" t="s">
        <v>419</v>
      </c>
      <c r="AT7" s="349"/>
      <c r="AU7" s="349"/>
      <c r="AV7" s="349"/>
      <c r="AW7" s="350"/>
      <c r="AX7" s="348" t="s">
        <v>420</v>
      </c>
      <c r="AY7" s="349"/>
      <c r="AZ7" s="349"/>
      <c r="BA7" s="349"/>
      <c r="BB7" s="359"/>
      <c r="BC7" s="362"/>
      <c r="BD7" s="182"/>
      <c r="BE7" s="182"/>
      <c r="BF7" s="182"/>
      <c r="BG7" s="182"/>
      <c r="BH7" s="182"/>
      <c r="BI7" s="182"/>
      <c r="BJ7" s="182"/>
    </row>
    <row r="8" spans="2:63" ht="37.5" customHeight="1">
      <c r="B8" s="538" t="s">
        <v>261</v>
      </c>
      <c r="C8" s="539"/>
      <c r="D8" s="539"/>
      <c r="E8" s="348" t="s">
        <v>403</v>
      </c>
      <c r="F8" s="349"/>
      <c r="G8" s="349"/>
      <c r="H8" s="349"/>
      <c r="I8" s="359"/>
      <c r="J8" s="348" t="s">
        <v>403</v>
      </c>
      <c r="K8" s="349"/>
      <c r="L8" s="349"/>
      <c r="M8" s="349"/>
      <c r="N8" s="359"/>
      <c r="O8" s="348" t="s">
        <v>428</v>
      </c>
      <c r="P8" s="349"/>
      <c r="Q8" s="349"/>
      <c r="R8" s="349"/>
      <c r="S8" s="359"/>
      <c r="T8" s="348" t="s">
        <v>427</v>
      </c>
      <c r="U8" s="349"/>
      <c r="V8" s="349"/>
      <c r="W8" s="349"/>
      <c r="X8" s="350"/>
      <c r="Y8" s="348" t="s">
        <v>426</v>
      </c>
      <c r="Z8" s="349"/>
      <c r="AA8" s="349"/>
      <c r="AB8" s="349"/>
      <c r="AC8" s="350"/>
      <c r="AD8" s="348" t="s">
        <v>425</v>
      </c>
      <c r="AE8" s="349"/>
      <c r="AF8" s="349"/>
      <c r="AG8" s="349"/>
      <c r="AH8" s="350"/>
      <c r="AI8" s="348" t="s">
        <v>424</v>
      </c>
      <c r="AJ8" s="349"/>
      <c r="AK8" s="349"/>
      <c r="AL8" s="349"/>
      <c r="AM8" s="350"/>
      <c r="AN8" s="348" t="s">
        <v>423</v>
      </c>
      <c r="AO8" s="349"/>
      <c r="AP8" s="349"/>
      <c r="AQ8" s="349"/>
      <c r="AR8" s="350"/>
      <c r="AS8" s="348" t="s">
        <v>422</v>
      </c>
      <c r="AT8" s="349"/>
      <c r="AU8" s="349"/>
      <c r="AV8" s="349"/>
      <c r="AW8" s="350"/>
      <c r="AX8" s="348" t="s">
        <v>421</v>
      </c>
      <c r="AY8" s="349"/>
      <c r="AZ8" s="349"/>
      <c r="BA8" s="349"/>
      <c r="BB8" s="359"/>
      <c r="BC8" s="362"/>
      <c r="BD8" s="182"/>
      <c r="BE8" s="182"/>
      <c r="BF8" s="182"/>
      <c r="BG8" s="182"/>
      <c r="BH8" s="182"/>
      <c r="BI8" s="182"/>
      <c r="BJ8" s="182"/>
    </row>
    <row r="9" spans="2:63" ht="37.5" customHeight="1">
      <c r="B9" s="547" t="s">
        <v>262</v>
      </c>
      <c r="C9" s="548"/>
      <c r="D9" s="548"/>
      <c r="E9" s="348" t="s">
        <v>404</v>
      </c>
      <c r="F9" s="349"/>
      <c r="G9" s="349"/>
      <c r="H9" s="349"/>
      <c r="I9" s="359"/>
      <c r="J9" s="348" t="s">
        <v>404</v>
      </c>
      <c r="K9" s="349"/>
      <c r="L9" s="349"/>
      <c r="M9" s="349"/>
      <c r="N9" s="359"/>
      <c r="O9" s="348" t="s">
        <v>347</v>
      </c>
      <c r="P9" s="349"/>
      <c r="Q9" s="349"/>
      <c r="R9" s="349"/>
      <c r="S9" s="359"/>
      <c r="T9" s="348" t="s">
        <v>271</v>
      </c>
      <c r="U9" s="349"/>
      <c r="V9" s="349"/>
      <c r="W9" s="349"/>
      <c r="X9" s="350"/>
      <c r="Y9" s="348" t="s">
        <v>376</v>
      </c>
      <c r="Z9" s="349"/>
      <c r="AA9" s="349"/>
      <c r="AB9" s="349"/>
      <c r="AC9" s="350"/>
      <c r="AD9" s="348" t="s">
        <v>332</v>
      </c>
      <c r="AE9" s="349"/>
      <c r="AF9" s="349"/>
      <c r="AG9" s="349"/>
      <c r="AH9" s="350"/>
      <c r="AI9" s="348" t="s">
        <v>286</v>
      </c>
      <c r="AJ9" s="349"/>
      <c r="AK9" s="349"/>
      <c r="AL9" s="349"/>
      <c r="AM9" s="350"/>
      <c r="AN9" s="348" t="s">
        <v>317</v>
      </c>
      <c r="AO9" s="349"/>
      <c r="AP9" s="349"/>
      <c r="AQ9" s="349"/>
      <c r="AR9" s="350"/>
      <c r="AS9" s="348" t="s">
        <v>302</v>
      </c>
      <c r="AT9" s="349"/>
      <c r="AU9" s="349"/>
      <c r="AV9" s="349"/>
      <c r="AW9" s="350"/>
      <c r="AX9" s="348" t="s">
        <v>362</v>
      </c>
      <c r="AY9" s="349"/>
      <c r="AZ9" s="349"/>
      <c r="BA9" s="349"/>
      <c r="BB9" s="359"/>
      <c r="BC9" s="362"/>
      <c r="BD9" s="182"/>
      <c r="BE9" s="182"/>
      <c r="BF9" s="182"/>
      <c r="BG9" s="182"/>
      <c r="BH9" s="182"/>
      <c r="BI9" s="182"/>
      <c r="BJ9" s="182"/>
    </row>
    <row r="10" spans="2:63" ht="37.5" customHeight="1">
      <c r="B10" s="549" t="s">
        <v>253</v>
      </c>
      <c r="C10" s="550"/>
      <c r="D10" s="550"/>
      <c r="E10" s="348" t="s">
        <v>405</v>
      </c>
      <c r="F10" s="349"/>
      <c r="G10" s="349"/>
      <c r="H10" s="349"/>
      <c r="I10" s="359"/>
      <c r="J10" s="348" t="s">
        <v>405</v>
      </c>
      <c r="K10" s="349"/>
      <c r="L10" s="349"/>
      <c r="M10" s="349"/>
      <c r="N10" s="359"/>
      <c r="O10" s="348" t="s">
        <v>348</v>
      </c>
      <c r="P10" s="349"/>
      <c r="Q10" s="349"/>
      <c r="R10" s="349"/>
      <c r="S10" s="359"/>
      <c r="T10" s="348" t="s">
        <v>272</v>
      </c>
      <c r="U10" s="349"/>
      <c r="V10" s="349"/>
      <c r="W10" s="349"/>
      <c r="X10" s="350"/>
      <c r="Y10" s="348" t="s">
        <v>377</v>
      </c>
      <c r="Z10" s="349"/>
      <c r="AA10" s="349"/>
      <c r="AB10" s="349"/>
      <c r="AC10" s="350"/>
      <c r="AD10" s="348" t="s">
        <v>333</v>
      </c>
      <c r="AE10" s="349"/>
      <c r="AF10" s="349"/>
      <c r="AG10" s="349"/>
      <c r="AH10" s="350"/>
      <c r="AI10" s="348" t="s">
        <v>287</v>
      </c>
      <c r="AJ10" s="349"/>
      <c r="AK10" s="349"/>
      <c r="AL10" s="349"/>
      <c r="AM10" s="350"/>
      <c r="AN10" s="348" t="s">
        <v>318</v>
      </c>
      <c r="AO10" s="349"/>
      <c r="AP10" s="349"/>
      <c r="AQ10" s="349"/>
      <c r="AR10" s="350"/>
      <c r="AS10" s="348" t="s">
        <v>303</v>
      </c>
      <c r="AT10" s="349"/>
      <c r="AU10" s="349"/>
      <c r="AV10" s="349"/>
      <c r="AW10" s="350"/>
      <c r="AX10" s="348" t="s">
        <v>363</v>
      </c>
      <c r="AY10" s="349"/>
      <c r="AZ10" s="349"/>
      <c r="BA10" s="349"/>
      <c r="BB10" s="359"/>
      <c r="BC10" s="362"/>
      <c r="BD10" s="182"/>
      <c r="BE10" s="182"/>
      <c r="BF10" s="182"/>
      <c r="BG10" s="182"/>
      <c r="BH10" s="182"/>
      <c r="BI10" s="182"/>
      <c r="BJ10" s="182"/>
    </row>
    <row r="11" spans="2:63" ht="37.5" customHeight="1">
      <c r="B11" s="536" t="s">
        <v>254</v>
      </c>
      <c r="C11" s="537"/>
      <c r="D11" s="537"/>
      <c r="E11" s="348" t="s">
        <v>406</v>
      </c>
      <c r="F11" s="349"/>
      <c r="G11" s="349"/>
      <c r="H11" s="349"/>
      <c r="I11" s="359"/>
      <c r="J11" s="348" t="s">
        <v>406</v>
      </c>
      <c r="K11" s="349"/>
      <c r="L11" s="349"/>
      <c r="M11" s="349"/>
      <c r="N11" s="359"/>
      <c r="O11" s="348" t="s">
        <v>349</v>
      </c>
      <c r="P11" s="349"/>
      <c r="Q11" s="349"/>
      <c r="R11" s="349"/>
      <c r="S11" s="359"/>
      <c r="T11" s="348" t="s">
        <v>273</v>
      </c>
      <c r="U11" s="349"/>
      <c r="V11" s="349"/>
      <c r="W11" s="349"/>
      <c r="X11" s="350"/>
      <c r="Y11" s="348" t="s">
        <v>378</v>
      </c>
      <c r="Z11" s="349"/>
      <c r="AA11" s="349"/>
      <c r="AB11" s="349"/>
      <c r="AC11" s="350"/>
      <c r="AD11" s="348" t="s">
        <v>334</v>
      </c>
      <c r="AE11" s="349"/>
      <c r="AF11" s="349"/>
      <c r="AG11" s="349"/>
      <c r="AH11" s="350"/>
      <c r="AI11" s="348" t="s">
        <v>288</v>
      </c>
      <c r="AJ11" s="349"/>
      <c r="AK11" s="349"/>
      <c r="AL11" s="349"/>
      <c r="AM11" s="350"/>
      <c r="AN11" s="348" t="s">
        <v>319</v>
      </c>
      <c r="AO11" s="349"/>
      <c r="AP11" s="349"/>
      <c r="AQ11" s="349"/>
      <c r="AR11" s="350"/>
      <c r="AS11" s="348" t="s">
        <v>304</v>
      </c>
      <c r="AT11" s="349"/>
      <c r="AU11" s="349"/>
      <c r="AV11" s="349"/>
      <c r="AW11" s="350"/>
      <c r="AX11" s="348" t="s">
        <v>364</v>
      </c>
      <c r="AY11" s="349"/>
      <c r="AZ11" s="349"/>
      <c r="BA11" s="349"/>
      <c r="BB11" s="359"/>
      <c r="BC11" s="362"/>
      <c r="BD11" s="182"/>
      <c r="BE11" s="182"/>
      <c r="BF11" s="182"/>
      <c r="BG11" s="182"/>
      <c r="BH11" s="182"/>
      <c r="BI11" s="182"/>
      <c r="BJ11" s="182"/>
    </row>
    <row r="12" spans="2:63" ht="37.5" customHeight="1">
      <c r="B12" s="538" t="s">
        <v>267</v>
      </c>
      <c r="C12" s="539"/>
      <c r="D12" s="539"/>
      <c r="E12" s="351">
        <f>76618*0.3025</f>
        <v>23176.945</v>
      </c>
      <c r="F12" s="349"/>
      <c r="G12" s="349"/>
      <c r="H12" s="349"/>
      <c r="I12" s="359"/>
      <c r="J12" s="351">
        <f>76618*0.3025</f>
        <v>23176.945</v>
      </c>
      <c r="K12" s="349"/>
      <c r="L12" s="349"/>
      <c r="M12" s="349"/>
      <c r="N12" s="359"/>
      <c r="O12" s="351">
        <f>59667*0.3025</f>
        <v>18049.267499999998</v>
      </c>
      <c r="P12" s="349"/>
      <c r="Q12" s="349"/>
      <c r="R12" s="349"/>
      <c r="S12" s="359"/>
      <c r="T12" s="351">
        <f>57122*0.3025</f>
        <v>17279.404999999999</v>
      </c>
      <c r="U12" s="349"/>
      <c r="V12" s="349"/>
      <c r="W12" s="349"/>
      <c r="X12" s="350"/>
      <c r="Y12" s="351">
        <f>23841*0.3025</f>
        <v>7211.9025000000001</v>
      </c>
      <c r="Z12" s="349"/>
      <c r="AA12" s="349"/>
      <c r="AB12" s="349"/>
      <c r="AC12" s="350"/>
      <c r="AD12" s="351">
        <f>65087*0.3025</f>
        <v>19688.817500000001</v>
      </c>
      <c r="AE12" s="349"/>
      <c r="AF12" s="349"/>
      <c r="AG12" s="349"/>
      <c r="AH12" s="350"/>
      <c r="AI12" s="351">
        <f>85540*0.3025</f>
        <v>25875.85</v>
      </c>
      <c r="AJ12" s="349"/>
      <c r="AK12" s="349"/>
      <c r="AL12" s="349"/>
      <c r="AM12" s="350"/>
      <c r="AN12" s="351">
        <f>45732*0.3025</f>
        <v>13833.93</v>
      </c>
      <c r="AO12" s="349"/>
      <c r="AP12" s="349"/>
      <c r="AQ12" s="349"/>
      <c r="AR12" s="350"/>
      <c r="AS12" s="351">
        <f>69448*0.3025</f>
        <v>21008.02</v>
      </c>
      <c r="AT12" s="349"/>
      <c r="AU12" s="349"/>
      <c r="AV12" s="349"/>
      <c r="AW12" s="350"/>
      <c r="AX12" s="351">
        <f>70422*0.3025</f>
        <v>21302.654999999999</v>
      </c>
      <c r="AY12" s="349"/>
      <c r="AZ12" s="349"/>
      <c r="BA12" s="349"/>
      <c r="BB12" s="359"/>
      <c r="BC12" s="362"/>
      <c r="BD12" s="182"/>
      <c r="BE12" s="182"/>
      <c r="BF12" s="182"/>
      <c r="BG12" s="182"/>
      <c r="BH12" s="182"/>
      <c r="BI12" s="182"/>
      <c r="BJ12" s="182"/>
    </row>
    <row r="13" spans="2:63" ht="37.5" customHeight="1">
      <c r="B13" s="538" t="s">
        <v>254</v>
      </c>
      <c r="C13" s="539"/>
      <c r="D13" s="539"/>
      <c r="E13" s="351">
        <f>205060.9471*0.3025</f>
        <v>62030.936497749994</v>
      </c>
      <c r="F13" s="349"/>
      <c r="G13" s="349"/>
      <c r="H13" s="349"/>
      <c r="I13" s="359"/>
      <c r="J13" s="351">
        <f>205060.9471*0.3025</f>
        <v>62030.936497749994</v>
      </c>
      <c r="K13" s="349"/>
      <c r="L13" s="349"/>
      <c r="M13" s="349"/>
      <c r="N13" s="359"/>
      <c r="O13" s="351">
        <f>177663.0224*0.3025</f>
        <v>53743.064275999997</v>
      </c>
      <c r="P13" s="349"/>
      <c r="Q13" s="349"/>
      <c r="R13" s="349"/>
      <c r="S13" s="359"/>
      <c r="T13" s="351">
        <f>153713.4289*0.3025</f>
        <v>46498.312242250002</v>
      </c>
      <c r="U13" s="349"/>
      <c r="V13" s="349"/>
      <c r="W13" s="349"/>
      <c r="X13" s="350"/>
      <c r="Y13" s="351">
        <f>75776.9324*0.3025</f>
        <v>22922.522051</v>
      </c>
      <c r="Z13" s="349"/>
      <c r="AA13" s="349"/>
      <c r="AB13" s="349"/>
      <c r="AC13" s="350"/>
      <c r="AD13" s="351">
        <f>198931.2606*0.3025</f>
        <v>60176.706331499998</v>
      </c>
      <c r="AE13" s="349"/>
      <c r="AF13" s="349"/>
      <c r="AG13" s="349"/>
      <c r="AH13" s="350"/>
      <c r="AI13" s="351">
        <f>284130.39*0.3025</f>
        <v>85949.442974999998</v>
      </c>
      <c r="AJ13" s="349"/>
      <c r="AK13" s="349"/>
      <c r="AL13" s="349"/>
      <c r="AM13" s="350"/>
      <c r="AN13" s="351">
        <f>143911.6847*0.3025</f>
        <v>43533.284621750005</v>
      </c>
      <c r="AO13" s="349"/>
      <c r="AP13" s="349"/>
      <c r="AQ13" s="349"/>
      <c r="AR13" s="350"/>
      <c r="AS13" s="351">
        <f>222390.1418*0.3025</f>
        <v>67273.017894500008</v>
      </c>
      <c r="AT13" s="349"/>
      <c r="AU13" s="349"/>
      <c r="AV13" s="349"/>
      <c r="AW13" s="350"/>
      <c r="AX13" s="351">
        <f>466221.1759*0.3025</f>
        <v>141031.90570974999</v>
      </c>
      <c r="AY13" s="349"/>
      <c r="AZ13" s="349"/>
      <c r="BA13" s="349"/>
      <c r="BB13" s="359"/>
      <c r="BC13" s="362"/>
      <c r="BD13" s="182"/>
      <c r="BE13" s="182"/>
      <c r="BF13" s="182"/>
      <c r="BG13" s="182"/>
      <c r="BH13" s="182"/>
      <c r="BI13" s="182"/>
      <c r="BJ13" s="182"/>
    </row>
    <row r="14" spans="2:63" ht="37.5" customHeight="1">
      <c r="B14" s="538" t="s">
        <v>263</v>
      </c>
      <c r="C14" s="539"/>
      <c r="D14" s="539"/>
      <c r="E14" s="348" t="s">
        <v>407</v>
      </c>
      <c r="F14" s="349"/>
      <c r="G14" s="349"/>
      <c r="H14" s="349"/>
      <c r="I14" s="359"/>
      <c r="J14" s="348" t="s">
        <v>407</v>
      </c>
      <c r="K14" s="349"/>
      <c r="L14" s="349"/>
      <c r="M14" s="349"/>
      <c r="N14" s="359"/>
      <c r="O14" s="348" t="s">
        <v>350</v>
      </c>
      <c r="P14" s="349"/>
      <c r="Q14" s="349"/>
      <c r="R14" s="349"/>
      <c r="S14" s="359"/>
      <c r="T14" s="348" t="s">
        <v>274</v>
      </c>
      <c r="U14" s="349"/>
      <c r="V14" s="349"/>
      <c r="W14" s="349"/>
      <c r="X14" s="350"/>
      <c r="Y14" s="348" t="s">
        <v>379</v>
      </c>
      <c r="Z14" s="349"/>
      <c r="AA14" s="349"/>
      <c r="AB14" s="349"/>
      <c r="AC14" s="350"/>
      <c r="AD14" s="348" t="s">
        <v>335</v>
      </c>
      <c r="AE14" s="349"/>
      <c r="AF14" s="349"/>
      <c r="AG14" s="349"/>
      <c r="AH14" s="350"/>
      <c r="AI14" s="348" t="s">
        <v>289</v>
      </c>
      <c r="AJ14" s="349"/>
      <c r="AK14" s="349"/>
      <c r="AL14" s="349"/>
      <c r="AM14" s="350"/>
      <c r="AN14" s="348" t="s">
        <v>320</v>
      </c>
      <c r="AO14" s="349"/>
      <c r="AP14" s="349"/>
      <c r="AQ14" s="349"/>
      <c r="AR14" s="350"/>
      <c r="AS14" s="348" t="s">
        <v>305</v>
      </c>
      <c r="AT14" s="349"/>
      <c r="AU14" s="349"/>
      <c r="AV14" s="349"/>
      <c r="AW14" s="350"/>
      <c r="AX14" s="364" t="s">
        <v>392</v>
      </c>
      <c r="AY14" s="349"/>
      <c r="AZ14" s="349"/>
      <c r="BA14" s="349"/>
      <c r="BB14" s="359"/>
      <c r="BC14" s="362"/>
      <c r="BD14" s="182"/>
      <c r="BE14" s="182"/>
      <c r="BF14" s="182"/>
      <c r="BG14" s="182"/>
      <c r="BH14" s="182"/>
      <c r="BI14" s="182"/>
      <c r="BJ14" s="182"/>
    </row>
    <row r="15" spans="2:63" ht="37.5" customHeight="1">
      <c r="B15" s="538" t="s">
        <v>264</v>
      </c>
      <c r="C15" s="539"/>
      <c r="D15" s="539"/>
      <c r="E15" s="348" t="s">
        <v>408</v>
      </c>
      <c r="F15" s="349"/>
      <c r="G15" s="349"/>
      <c r="H15" s="349"/>
      <c r="I15" s="359"/>
      <c r="J15" s="348" t="s">
        <v>408</v>
      </c>
      <c r="K15" s="349"/>
      <c r="L15" s="349"/>
      <c r="M15" s="349"/>
      <c r="N15" s="359"/>
      <c r="O15" s="348" t="s">
        <v>351</v>
      </c>
      <c r="P15" s="349"/>
      <c r="Q15" s="349"/>
      <c r="R15" s="349"/>
      <c r="S15" s="359"/>
      <c r="T15" s="348" t="s">
        <v>275</v>
      </c>
      <c r="U15" s="349"/>
      <c r="V15" s="349"/>
      <c r="W15" s="349"/>
      <c r="X15" s="350"/>
      <c r="Y15" s="348" t="s">
        <v>380</v>
      </c>
      <c r="Z15" s="349"/>
      <c r="AA15" s="349"/>
      <c r="AB15" s="349"/>
      <c r="AC15" s="350"/>
      <c r="AD15" s="348" t="s">
        <v>336</v>
      </c>
      <c r="AE15" s="349"/>
      <c r="AF15" s="349"/>
      <c r="AG15" s="349"/>
      <c r="AH15" s="350"/>
      <c r="AI15" s="348" t="s">
        <v>290</v>
      </c>
      <c r="AJ15" s="349"/>
      <c r="AK15" s="349"/>
      <c r="AL15" s="349"/>
      <c r="AM15" s="350"/>
      <c r="AN15" s="348" t="s">
        <v>321</v>
      </c>
      <c r="AO15" s="349"/>
      <c r="AP15" s="349"/>
      <c r="AQ15" s="349"/>
      <c r="AR15" s="350"/>
      <c r="AS15" s="348" t="s">
        <v>306</v>
      </c>
      <c r="AT15" s="349"/>
      <c r="AU15" s="349"/>
      <c r="AV15" s="349"/>
      <c r="AW15" s="350"/>
      <c r="AX15" s="348" t="s">
        <v>365</v>
      </c>
      <c r="AY15" s="349"/>
      <c r="AZ15" s="349"/>
      <c r="BA15" s="349"/>
      <c r="BB15" s="359"/>
      <c r="BC15" s="362"/>
      <c r="BD15" s="182"/>
      <c r="BE15" s="182"/>
      <c r="BF15" s="182"/>
      <c r="BG15" s="182"/>
      <c r="BH15" s="182"/>
      <c r="BI15" s="182"/>
      <c r="BJ15" s="182"/>
    </row>
    <row r="16" spans="2:63" ht="37.5" customHeight="1">
      <c r="B16" s="538" t="s">
        <v>265</v>
      </c>
      <c r="C16" s="539"/>
      <c r="D16" s="539"/>
      <c r="E16" s="348" t="s">
        <v>409</v>
      </c>
      <c r="F16" s="349"/>
      <c r="G16" s="349"/>
      <c r="H16" s="349"/>
      <c r="I16" s="359"/>
      <c r="J16" s="348" t="s">
        <v>429</v>
      </c>
      <c r="K16" s="349"/>
      <c r="L16" s="349"/>
      <c r="M16" s="349"/>
      <c r="N16" s="359"/>
      <c r="O16" s="348" t="s">
        <v>352</v>
      </c>
      <c r="P16" s="349"/>
      <c r="Q16" s="349"/>
      <c r="R16" s="349"/>
      <c r="S16" s="359"/>
      <c r="T16" s="348" t="s">
        <v>276</v>
      </c>
      <c r="U16" s="349"/>
      <c r="V16" s="349"/>
      <c r="W16" s="349"/>
      <c r="X16" s="350"/>
      <c r="Y16" s="348" t="s">
        <v>381</v>
      </c>
      <c r="Z16" s="349"/>
      <c r="AA16" s="349"/>
      <c r="AB16" s="349"/>
      <c r="AC16" s="350"/>
      <c r="AD16" s="348" t="s">
        <v>337</v>
      </c>
      <c r="AE16" s="349"/>
      <c r="AF16" s="349"/>
      <c r="AG16" s="349"/>
      <c r="AH16" s="350"/>
      <c r="AI16" s="348" t="s">
        <v>291</v>
      </c>
      <c r="AJ16" s="349"/>
      <c r="AK16" s="349"/>
      <c r="AL16" s="349"/>
      <c r="AM16" s="350"/>
      <c r="AN16" s="348" t="s">
        <v>322</v>
      </c>
      <c r="AO16" s="349"/>
      <c r="AP16" s="349"/>
      <c r="AQ16" s="349"/>
      <c r="AR16" s="350"/>
      <c r="AS16" s="348" t="s">
        <v>307</v>
      </c>
      <c r="AT16" s="349"/>
      <c r="AU16" s="349"/>
      <c r="AV16" s="349"/>
      <c r="AW16" s="350"/>
      <c r="AX16" s="348" t="s">
        <v>366</v>
      </c>
      <c r="AY16" s="349"/>
      <c r="AZ16" s="349"/>
      <c r="BA16" s="349"/>
      <c r="BB16" s="359"/>
      <c r="BC16" s="362"/>
      <c r="BD16" s="182"/>
      <c r="BE16" s="182"/>
      <c r="BF16" s="182"/>
      <c r="BG16" s="182"/>
      <c r="BH16" s="182"/>
      <c r="BI16" s="182"/>
      <c r="BJ16" s="182"/>
    </row>
    <row r="17" spans="2:66" ht="37.5" customHeight="1">
      <c r="B17" s="538" t="s">
        <v>266</v>
      </c>
      <c r="C17" s="539"/>
      <c r="D17" s="539"/>
      <c r="E17" s="348" t="s">
        <v>410</v>
      </c>
      <c r="F17" s="349"/>
      <c r="G17" s="349"/>
      <c r="H17" s="349"/>
      <c r="I17" s="359"/>
      <c r="J17" s="348" t="s">
        <v>430</v>
      </c>
      <c r="K17" s="349"/>
      <c r="L17" s="349"/>
      <c r="M17" s="349"/>
      <c r="N17" s="359"/>
      <c r="O17" s="348" t="s">
        <v>353</v>
      </c>
      <c r="P17" s="349"/>
      <c r="Q17" s="349"/>
      <c r="R17" s="349"/>
      <c r="S17" s="359"/>
      <c r="T17" s="348" t="s">
        <v>277</v>
      </c>
      <c r="U17" s="349"/>
      <c r="V17" s="349"/>
      <c r="W17" s="349"/>
      <c r="X17" s="350"/>
      <c r="Y17" s="348" t="s">
        <v>382</v>
      </c>
      <c r="Z17" s="349"/>
      <c r="AA17" s="349"/>
      <c r="AB17" s="349"/>
      <c r="AC17" s="350"/>
      <c r="AD17" s="348" t="s">
        <v>338</v>
      </c>
      <c r="AE17" s="349"/>
      <c r="AF17" s="349"/>
      <c r="AG17" s="349"/>
      <c r="AH17" s="350"/>
      <c r="AI17" s="348" t="s">
        <v>292</v>
      </c>
      <c r="AJ17" s="349"/>
      <c r="AK17" s="349"/>
      <c r="AL17" s="349"/>
      <c r="AM17" s="350"/>
      <c r="AN17" s="348" t="s">
        <v>323</v>
      </c>
      <c r="AO17" s="349"/>
      <c r="AP17" s="349"/>
      <c r="AQ17" s="349"/>
      <c r="AR17" s="350"/>
      <c r="AS17" s="348" t="s">
        <v>308</v>
      </c>
      <c r="AT17" s="349"/>
      <c r="AU17" s="349"/>
      <c r="AV17" s="349"/>
      <c r="AW17" s="350"/>
      <c r="AX17" s="348" t="s">
        <v>367</v>
      </c>
      <c r="AY17" s="349"/>
      <c r="AZ17" s="349"/>
      <c r="BA17" s="349"/>
      <c r="BB17" s="359"/>
      <c r="BC17" s="362"/>
      <c r="BD17" s="182"/>
      <c r="BE17" s="182"/>
      <c r="BF17" s="182"/>
      <c r="BG17" s="182"/>
      <c r="BH17" s="182"/>
      <c r="BI17" s="182"/>
      <c r="BJ17" s="182"/>
    </row>
    <row r="18" spans="2:66" ht="37.5" customHeight="1">
      <c r="B18" s="538" t="s">
        <v>255</v>
      </c>
      <c r="C18" s="539"/>
      <c r="D18" s="539"/>
      <c r="E18" s="348" t="s">
        <v>354</v>
      </c>
      <c r="F18" s="349"/>
      <c r="G18" s="349"/>
      <c r="H18" s="349"/>
      <c r="I18" s="359"/>
      <c r="J18" s="348" t="s">
        <v>354</v>
      </c>
      <c r="K18" s="349"/>
      <c r="L18" s="349"/>
      <c r="M18" s="349"/>
      <c r="N18" s="359"/>
      <c r="O18" s="348" t="s">
        <v>354</v>
      </c>
      <c r="P18" s="349"/>
      <c r="Q18" s="349"/>
      <c r="R18" s="349"/>
      <c r="S18" s="359"/>
      <c r="T18" s="348" t="s">
        <v>278</v>
      </c>
      <c r="U18" s="349"/>
      <c r="V18" s="349"/>
      <c r="W18" s="349"/>
      <c r="X18" s="350"/>
      <c r="Y18" s="348" t="s">
        <v>383</v>
      </c>
      <c r="Z18" s="349"/>
      <c r="AA18" s="349"/>
      <c r="AB18" s="349"/>
      <c r="AC18" s="350"/>
      <c r="AD18" s="348" t="s">
        <v>339</v>
      </c>
      <c r="AE18" s="349"/>
      <c r="AF18" s="349"/>
      <c r="AG18" s="349"/>
      <c r="AH18" s="350"/>
      <c r="AI18" s="348" t="s">
        <v>293</v>
      </c>
      <c r="AJ18" s="349"/>
      <c r="AK18" s="349"/>
      <c r="AL18" s="349"/>
      <c r="AM18" s="350"/>
      <c r="AN18" s="348" t="s">
        <v>324</v>
      </c>
      <c r="AO18" s="349"/>
      <c r="AP18" s="349"/>
      <c r="AQ18" s="349"/>
      <c r="AR18" s="350"/>
      <c r="AS18" s="348" t="s">
        <v>309</v>
      </c>
      <c r="AT18" s="349"/>
      <c r="AU18" s="349"/>
      <c r="AV18" s="349"/>
      <c r="AW18" s="350"/>
      <c r="AX18" s="348" t="s">
        <v>368</v>
      </c>
      <c r="AY18" s="349"/>
      <c r="AZ18" s="349"/>
      <c r="BA18" s="349"/>
      <c r="BB18" s="359"/>
      <c r="BC18" s="362"/>
      <c r="BD18" s="182"/>
      <c r="BE18" s="182"/>
      <c r="BF18" s="182"/>
      <c r="BG18" s="182"/>
      <c r="BH18" s="182"/>
      <c r="BI18" s="182"/>
      <c r="BJ18" s="182"/>
    </row>
    <row r="19" spans="2:66" ht="37.5" customHeight="1">
      <c r="B19" s="538" t="s">
        <v>256</v>
      </c>
      <c r="C19" s="539"/>
      <c r="D19" s="539"/>
      <c r="E19" s="348" t="s">
        <v>355</v>
      </c>
      <c r="F19" s="349"/>
      <c r="G19" s="349"/>
      <c r="H19" s="349"/>
      <c r="I19" s="359"/>
      <c r="J19" s="348" t="s">
        <v>355</v>
      </c>
      <c r="K19" s="349"/>
      <c r="L19" s="349"/>
      <c r="M19" s="349"/>
      <c r="N19" s="359"/>
      <c r="O19" s="348" t="s">
        <v>355</v>
      </c>
      <c r="P19" s="349"/>
      <c r="Q19" s="349"/>
      <c r="R19" s="349"/>
      <c r="S19" s="359"/>
      <c r="T19" s="348" t="s">
        <v>279</v>
      </c>
      <c r="U19" s="349"/>
      <c r="V19" s="349"/>
      <c r="W19" s="349"/>
      <c r="X19" s="350"/>
      <c r="Y19" s="356" t="s">
        <v>384</v>
      </c>
      <c r="Z19" s="349"/>
      <c r="AA19" s="349"/>
      <c r="AB19" s="349"/>
      <c r="AC19" s="350"/>
      <c r="AD19" s="348" t="s">
        <v>340</v>
      </c>
      <c r="AE19" s="349"/>
      <c r="AF19" s="349"/>
      <c r="AG19" s="349"/>
      <c r="AH19" s="350"/>
      <c r="AI19" s="352" t="s">
        <v>294</v>
      </c>
      <c r="AJ19" s="349"/>
      <c r="AK19" s="349"/>
      <c r="AL19" s="349"/>
      <c r="AM19" s="350"/>
      <c r="AN19" s="348" t="s">
        <v>325</v>
      </c>
      <c r="AO19" s="349"/>
      <c r="AP19" s="349"/>
      <c r="AQ19" s="349"/>
      <c r="AR19" s="350"/>
      <c r="AS19" s="348" t="s">
        <v>310</v>
      </c>
      <c r="AT19" s="349"/>
      <c r="AU19" s="349"/>
      <c r="AV19" s="349"/>
      <c r="AW19" s="350"/>
      <c r="AX19" s="356" t="s">
        <v>369</v>
      </c>
      <c r="AY19" s="349"/>
      <c r="AZ19" s="349"/>
      <c r="BA19" s="349"/>
      <c r="BB19" s="359"/>
      <c r="BC19" s="362"/>
      <c r="BD19" s="182"/>
      <c r="BE19" s="182"/>
      <c r="BF19" s="182"/>
      <c r="BG19" s="182"/>
      <c r="BH19" s="182"/>
      <c r="BI19" s="182"/>
      <c r="BJ19" s="182"/>
    </row>
    <row r="20" spans="2:66" ht="37.5" customHeight="1">
      <c r="B20" s="538" t="s">
        <v>210</v>
      </c>
      <c r="C20" s="539"/>
      <c r="D20" s="539"/>
      <c r="E20" s="348" t="s">
        <v>356</v>
      </c>
      <c r="F20" s="349"/>
      <c r="G20" s="349"/>
      <c r="H20" s="349"/>
      <c r="I20" s="359"/>
      <c r="J20" s="348" t="s">
        <v>356</v>
      </c>
      <c r="K20" s="349"/>
      <c r="L20" s="349"/>
      <c r="M20" s="349"/>
      <c r="N20" s="359"/>
      <c r="O20" s="348" t="s">
        <v>356</v>
      </c>
      <c r="P20" s="349"/>
      <c r="Q20" s="349"/>
      <c r="R20" s="349"/>
      <c r="S20" s="359"/>
      <c r="T20" s="348" t="s">
        <v>280</v>
      </c>
      <c r="U20" s="349"/>
      <c r="V20" s="349"/>
      <c r="W20" s="349"/>
      <c r="X20" s="350"/>
      <c r="Y20" s="348" t="s">
        <v>385</v>
      </c>
      <c r="Z20" s="349"/>
      <c r="AA20" s="349"/>
      <c r="AB20" s="349"/>
      <c r="AC20" s="350"/>
      <c r="AD20" s="348" t="s">
        <v>341</v>
      </c>
      <c r="AE20" s="349"/>
      <c r="AF20" s="349"/>
      <c r="AG20" s="349"/>
      <c r="AH20" s="350"/>
      <c r="AI20" s="348" t="s">
        <v>295</v>
      </c>
      <c r="AJ20" s="349"/>
      <c r="AK20" s="349"/>
      <c r="AL20" s="349"/>
      <c r="AM20" s="350"/>
      <c r="AN20" s="348" t="s">
        <v>326</v>
      </c>
      <c r="AO20" s="349"/>
      <c r="AP20" s="349"/>
      <c r="AQ20" s="349"/>
      <c r="AR20" s="350"/>
      <c r="AS20" s="348" t="s">
        <v>311</v>
      </c>
      <c r="AT20" s="349"/>
      <c r="AU20" s="349"/>
      <c r="AV20" s="349"/>
      <c r="AW20" s="350"/>
      <c r="AX20" s="348" t="s">
        <v>370</v>
      </c>
      <c r="AY20" s="349"/>
      <c r="AZ20" s="349"/>
      <c r="BA20" s="349"/>
      <c r="BB20" s="359"/>
      <c r="BC20" s="362"/>
      <c r="BD20" s="182"/>
      <c r="BE20" s="182"/>
      <c r="BF20" s="182"/>
      <c r="BG20" s="182"/>
      <c r="BH20" s="182"/>
      <c r="BI20" s="182"/>
      <c r="BJ20" s="182"/>
    </row>
    <row r="21" spans="2:66" ht="37.5" customHeight="1">
      <c r="B21" s="538" t="s">
        <v>257</v>
      </c>
      <c r="C21" s="539"/>
      <c r="D21" s="539"/>
      <c r="E21" s="348" t="s">
        <v>357</v>
      </c>
      <c r="F21" s="349"/>
      <c r="G21" s="349"/>
      <c r="H21" s="349"/>
      <c r="I21" s="359"/>
      <c r="J21" s="348" t="s">
        <v>357</v>
      </c>
      <c r="K21" s="349"/>
      <c r="L21" s="349"/>
      <c r="M21" s="349"/>
      <c r="N21" s="359"/>
      <c r="O21" s="348" t="s">
        <v>357</v>
      </c>
      <c r="P21" s="349"/>
      <c r="Q21" s="349"/>
      <c r="R21" s="349"/>
      <c r="S21" s="359"/>
      <c r="T21" s="348" t="s">
        <v>281</v>
      </c>
      <c r="U21" s="349"/>
      <c r="V21" s="349"/>
      <c r="W21" s="349"/>
      <c r="X21" s="350"/>
      <c r="Y21" s="348" t="s">
        <v>386</v>
      </c>
      <c r="Z21" s="349"/>
      <c r="AA21" s="349"/>
      <c r="AB21" s="349"/>
      <c r="AC21" s="350"/>
      <c r="AD21" s="348" t="s">
        <v>342</v>
      </c>
      <c r="AE21" s="349"/>
      <c r="AF21" s="349"/>
      <c r="AG21" s="349"/>
      <c r="AH21" s="350"/>
      <c r="AI21" s="348" t="s">
        <v>296</v>
      </c>
      <c r="AJ21" s="349"/>
      <c r="AK21" s="349"/>
      <c r="AL21" s="349"/>
      <c r="AM21" s="350"/>
      <c r="AN21" s="348" t="s">
        <v>327</v>
      </c>
      <c r="AO21" s="349"/>
      <c r="AP21" s="349"/>
      <c r="AQ21" s="349"/>
      <c r="AR21" s="350"/>
      <c r="AS21" s="348" t="s">
        <v>312</v>
      </c>
      <c r="AT21" s="349"/>
      <c r="AU21" s="349"/>
      <c r="AV21" s="349"/>
      <c r="AW21" s="350"/>
      <c r="AX21" s="348" t="s">
        <v>371</v>
      </c>
      <c r="AY21" s="349"/>
      <c r="AZ21" s="349"/>
      <c r="BA21" s="349"/>
      <c r="BB21" s="359"/>
      <c r="BC21" s="362"/>
      <c r="BD21" s="182"/>
      <c r="BE21" s="182"/>
      <c r="BF21" s="182"/>
      <c r="BG21" s="182"/>
      <c r="BH21" s="182"/>
      <c r="BI21" s="182"/>
      <c r="BJ21" s="182"/>
    </row>
    <row r="22" spans="2:66" ht="37.5" customHeight="1" thickBot="1">
      <c r="B22" s="543" t="s">
        <v>258</v>
      </c>
      <c r="C22" s="544"/>
      <c r="D22" s="544"/>
      <c r="E22" s="353" t="s">
        <v>358</v>
      </c>
      <c r="F22" s="354"/>
      <c r="G22" s="354"/>
      <c r="H22" s="354"/>
      <c r="I22" s="360"/>
      <c r="J22" s="353" t="s">
        <v>358</v>
      </c>
      <c r="K22" s="354"/>
      <c r="L22" s="354"/>
      <c r="M22" s="354"/>
      <c r="N22" s="360"/>
      <c r="O22" s="353" t="s">
        <v>358</v>
      </c>
      <c r="P22" s="354"/>
      <c r="Q22" s="354"/>
      <c r="R22" s="354"/>
      <c r="S22" s="360"/>
      <c r="T22" s="353" t="s">
        <v>282</v>
      </c>
      <c r="U22" s="354"/>
      <c r="V22" s="354"/>
      <c r="W22" s="354"/>
      <c r="X22" s="355"/>
      <c r="Y22" s="353" t="s">
        <v>387</v>
      </c>
      <c r="Z22" s="354"/>
      <c r="AA22" s="354"/>
      <c r="AB22" s="354"/>
      <c r="AC22" s="355"/>
      <c r="AD22" s="353" t="s">
        <v>343</v>
      </c>
      <c r="AE22" s="354"/>
      <c r="AF22" s="354"/>
      <c r="AG22" s="354"/>
      <c r="AH22" s="355"/>
      <c r="AI22" s="353" t="s">
        <v>297</v>
      </c>
      <c r="AJ22" s="354"/>
      <c r="AK22" s="354"/>
      <c r="AL22" s="354"/>
      <c r="AM22" s="355"/>
      <c r="AN22" s="353" t="s">
        <v>328</v>
      </c>
      <c r="AO22" s="354"/>
      <c r="AP22" s="354"/>
      <c r="AQ22" s="354"/>
      <c r="AR22" s="355"/>
      <c r="AS22" s="353" t="s">
        <v>313</v>
      </c>
      <c r="AT22" s="354"/>
      <c r="AU22" s="354"/>
      <c r="AV22" s="354"/>
      <c r="AW22" s="355"/>
      <c r="AX22" s="353" t="s">
        <v>372</v>
      </c>
      <c r="AY22" s="354"/>
      <c r="AZ22" s="354"/>
      <c r="BA22" s="354"/>
      <c r="BB22" s="360"/>
      <c r="BC22" s="363"/>
      <c r="BD22" s="182"/>
      <c r="BE22" s="182"/>
      <c r="BF22" s="182"/>
      <c r="BG22" s="182"/>
      <c r="BH22" s="182"/>
      <c r="BI22" s="182"/>
      <c r="BJ22" s="182"/>
    </row>
    <row r="23" spans="2:66" ht="37.5" customHeight="1" thickBot="1">
      <c r="B23" s="543" t="s">
        <v>390</v>
      </c>
      <c r="C23" s="544"/>
      <c r="D23" s="544"/>
      <c r="E23" s="353" t="s">
        <v>391</v>
      </c>
      <c r="F23" s="354"/>
      <c r="G23" s="354"/>
      <c r="H23" s="354"/>
      <c r="I23" s="360"/>
      <c r="J23" s="353"/>
      <c r="K23" s="354"/>
      <c r="L23" s="354"/>
      <c r="M23" s="354"/>
      <c r="N23" s="360"/>
      <c r="O23" s="353" t="s">
        <v>391</v>
      </c>
      <c r="P23" s="354"/>
      <c r="Q23" s="354"/>
      <c r="R23" s="354"/>
      <c r="S23" s="355"/>
      <c r="T23" s="353" t="s">
        <v>391</v>
      </c>
      <c r="U23" s="354"/>
      <c r="V23" s="354"/>
      <c r="W23" s="354"/>
      <c r="X23" s="355"/>
      <c r="Y23" s="353"/>
      <c r="Z23" s="354"/>
      <c r="AA23" s="354"/>
      <c r="AB23" s="354"/>
      <c r="AC23" s="355"/>
      <c r="AD23" s="353"/>
      <c r="AE23" s="354"/>
      <c r="AF23" s="354"/>
      <c r="AG23" s="354"/>
      <c r="AH23" s="355"/>
      <c r="AI23" s="353"/>
      <c r="AJ23" s="354"/>
      <c r="AK23" s="354"/>
      <c r="AL23" s="354"/>
      <c r="AM23" s="355"/>
      <c r="AN23" s="353"/>
      <c r="AO23" s="354"/>
      <c r="AP23" s="354"/>
      <c r="AQ23" s="354"/>
      <c r="AR23" s="355"/>
      <c r="AS23" s="353"/>
      <c r="AT23" s="354"/>
      <c r="AU23" s="354"/>
      <c r="AV23" s="354"/>
      <c r="AW23" s="355"/>
      <c r="AX23" s="353"/>
      <c r="AY23" s="354"/>
      <c r="AZ23" s="354"/>
      <c r="BA23" s="354"/>
      <c r="BB23" s="360"/>
      <c r="BC23" s="363"/>
      <c r="BD23" s="182"/>
      <c r="BE23" s="182"/>
      <c r="BF23" s="182"/>
      <c r="BG23" s="182"/>
      <c r="BH23" s="182"/>
      <c r="BI23" s="182"/>
      <c r="BJ23" s="182"/>
    </row>
    <row r="24" spans="2:66" s="188" customFormat="1" ht="17.100000000000001" customHeight="1" thickBot="1">
      <c r="B24" s="316" t="s">
        <v>38</v>
      </c>
      <c r="C24" s="343" t="s">
        <v>37</v>
      </c>
      <c r="D24" s="344" t="s">
        <v>36</v>
      </c>
      <c r="E24" s="299" t="s">
        <v>393</v>
      </c>
      <c r="F24" s="299" t="s">
        <v>125</v>
      </c>
      <c r="G24" s="299" t="s">
        <v>298</v>
      </c>
      <c r="H24" s="299" t="s">
        <v>126</v>
      </c>
      <c r="I24" s="300" t="s">
        <v>127</v>
      </c>
      <c r="J24" s="299" t="s">
        <v>412</v>
      </c>
      <c r="K24" s="299" t="s">
        <v>125</v>
      </c>
      <c r="L24" s="299" t="s">
        <v>298</v>
      </c>
      <c r="M24" s="299" t="s">
        <v>126</v>
      </c>
      <c r="N24" s="300" t="s">
        <v>127</v>
      </c>
      <c r="O24" s="299" t="s">
        <v>393</v>
      </c>
      <c r="P24" s="299" t="s">
        <v>125</v>
      </c>
      <c r="Q24" s="299" t="s">
        <v>298</v>
      </c>
      <c r="R24" s="299" t="s">
        <v>126</v>
      </c>
      <c r="S24" s="300" t="s">
        <v>127</v>
      </c>
      <c r="T24" s="299" t="s">
        <v>394</v>
      </c>
      <c r="U24" s="299" t="s">
        <v>125</v>
      </c>
      <c r="V24" s="299" t="s">
        <v>298</v>
      </c>
      <c r="W24" s="299" t="s">
        <v>126</v>
      </c>
      <c r="X24" s="300" t="s">
        <v>127</v>
      </c>
      <c r="Y24" s="299" t="s">
        <v>395</v>
      </c>
      <c r="Z24" s="299" t="s">
        <v>125</v>
      </c>
      <c r="AA24" s="299" t="s">
        <v>298</v>
      </c>
      <c r="AB24" s="299" t="s">
        <v>126</v>
      </c>
      <c r="AC24" s="300" t="s">
        <v>127</v>
      </c>
      <c r="AD24" s="299" t="s">
        <v>396</v>
      </c>
      <c r="AE24" s="299" t="s">
        <v>125</v>
      </c>
      <c r="AF24" s="299" t="s">
        <v>298</v>
      </c>
      <c r="AG24" s="299" t="s">
        <v>126</v>
      </c>
      <c r="AH24" s="300" t="s">
        <v>127</v>
      </c>
      <c r="AI24" s="299" t="s">
        <v>397</v>
      </c>
      <c r="AJ24" s="299" t="s">
        <v>125</v>
      </c>
      <c r="AK24" s="299" t="s">
        <v>298</v>
      </c>
      <c r="AL24" s="299" t="s">
        <v>126</v>
      </c>
      <c r="AM24" s="300" t="s">
        <v>127</v>
      </c>
      <c r="AN24" s="299" t="s">
        <v>398</v>
      </c>
      <c r="AO24" s="299" t="s">
        <v>125</v>
      </c>
      <c r="AP24" s="299" t="s">
        <v>298</v>
      </c>
      <c r="AQ24" s="299" t="s">
        <v>126</v>
      </c>
      <c r="AR24" s="300" t="s">
        <v>127</v>
      </c>
      <c r="AS24" s="299" t="s">
        <v>399</v>
      </c>
      <c r="AT24" s="299" t="s">
        <v>125</v>
      </c>
      <c r="AU24" s="299" t="s">
        <v>298</v>
      </c>
      <c r="AV24" s="299" t="s">
        <v>126</v>
      </c>
      <c r="AW24" s="300" t="s">
        <v>127</v>
      </c>
      <c r="AX24" s="299" t="s">
        <v>400</v>
      </c>
      <c r="AY24" s="299" t="s">
        <v>125</v>
      </c>
      <c r="AZ24" s="299" t="s">
        <v>126</v>
      </c>
      <c r="BA24" s="299" t="s">
        <v>126</v>
      </c>
      <c r="BB24" s="299" t="s">
        <v>127</v>
      </c>
      <c r="BC24" s="357"/>
      <c r="BD24" s="189"/>
      <c r="BE24" s="189"/>
      <c r="BF24" s="189"/>
      <c r="BG24" s="189"/>
      <c r="BH24" s="189"/>
      <c r="BI24" s="189"/>
      <c r="BJ24" s="189"/>
      <c r="BK24" s="190"/>
    </row>
    <row r="25" spans="2:66" ht="17.100000000000001" customHeight="1" thickTop="1">
      <c r="B25" s="303" t="s">
        <v>128</v>
      </c>
      <c r="C25" s="191" t="s">
        <v>129</v>
      </c>
      <c r="D25" s="192" t="s">
        <v>130</v>
      </c>
      <c r="E25" s="365">
        <f t="shared" ref="E25:G40" si="0">Y25/Y$79</f>
        <v>2.129876E-2</v>
      </c>
      <c r="F25" s="365">
        <f t="shared" si="0"/>
        <v>2.3703741625303271E-2</v>
      </c>
      <c r="G25" s="365">
        <f t="shared" si="0"/>
        <v>0</v>
      </c>
      <c r="H25" s="365"/>
      <c r="I25" s="365">
        <f t="shared" ref="I25:I79" si="1">AC25/AC$79</f>
        <v>0</v>
      </c>
      <c r="J25" s="327">
        <f>E25*$J$79</f>
        <v>4264324.7888254598</v>
      </c>
      <c r="K25" s="327">
        <v>4264324.7888254598</v>
      </c>
      <c r="L25" s="327"/>
      <c r="M25" s="327"/>
      <c r="N25" s="328"/>
      <c r="O25" s="327">
        <f t="shared" ref="O25:O37" si="2">P25+Q25+R25+S25</f>
        <v>2453549</v>
      </c>
      <c r="P25" s="327">
        <v>2453549</v>
      </c>
      <c r="Q25" s="327"/>
      <c r="R25" s="327"/>
      <c r="S25" s="328"/>
      <c r="T25" s="327">
        <f>U25+V25+W25+X25</f>
        <v>3604000</v>
      </c>
      <c r="U25" s="193">
        <v>3604000</v>
      </c>
      <c r="V25" s="193"/>
      <c r="W25" s="193"/>
      <c r="X25" s="194"/>
      <c r="Y25" s="327">
        <f>Z25+AA25+AB25+AC25</f>
        <v>1754291.9622591997</v>
      </c>
      <c r="Z25" s="327">
        <v>1754291.9622591997</v>
      </c>
      <c r="AA25" s="327">
        <v>0</v>
      </c>
      <c r="AB25" s="327"/>
      <c r="AC25" s="328"/>
      <c r="AD25" s="327">
        <f>AE25+AF25+AG25+AH25</f>
        <v>6521026</v>
      </c>
      <c r="AE25" s="327">
        <v>6521026</v>
      </c>
      <c r="AF25" s="327"/>
      <c r="AG25" s="327"/>
      <c r="AH25" s="328"/>
      <c r="AI25" s="193">
        <v>5340025</v>
      </c>
      <c r="AJ25" s="193">
        <f>AI25-AL25-AM25</f>
        <v>5340025</v>
      </c>
      <c r="AK25" s="193"/>
      <c r="AL25" s="193"/>
      <c r="AM25" s="194"/>
      <c r="AN25" s="327">
        <f>AO25+AP25+AQ25+AR25</f>
        <v>5160363</v>
      </c>
      <c r="AO25" s="327">
        <v>5160363</v>
      </c>
      <c r="AP25" s="327"/>
      <c r="AQ25" s="327"/>
      <c r="AR25" s="328"/>
      <c r="AS25" s="327">
        <f>AT25+AU25+AV25+AW25</f>
        <v>2198108</v>
      </c>
      <c r="AT25" s="327">
        <v>2198108</v>
      </c>
      <c r="AU25" s="327">
        <v>0</v>
      </c>
      <c r="AV25" s="327">
        <v>0</v>
      </c>
      <c r="AW25" s="328">
        <v>0</v>
      </c>
      <c r="AX25" s="327">
        <f>AY25+AZ25+BA25+BB25</f>
        <v>28817547678.464306</v>
      </c>
      <c r="AY25" s="327">
        <v>28817547678.464306</v>
      </c>
      <c r="AZ25" s="327"/>
      <c r="BA25" s="327"/>
      <c r="BB25" s="328"/>
      <c r="BC25" s="328"/>
      <c r="BD25" s="182"/>
      <c r="BE25" s="182"/>
      <c r="BF25" s="182"/>
      <c r="BG25" s="182"/>
      <c r="BH25" s="182"/>
      <c r="BI25" s="182"/>
      <c r="BJ25" s="182"/>
      <c r="BK25" s="320">
        <f>BM25+BO25+BQ25</f>
        <v>3604000</v>
      </c>
      <c r="BL25" s="321"/>
      <c r="BM25" s="322">
        <v>3604000</v>
      </c>
      <c r="BN25" s="323"/>
    </row>
    <row r="26" spans="2:66" ht="17.100000000000001" customHeight="1">
      <c r="B26" s="304"/>
      <c r="C26" s="195" t="s">
        <v>131</v>
      </c>
      <c r="D26" s="192" t="s">
        <v>132</v>
      </c>
      <c r="E26" s="365">
        <f t="shared" si="0"/>
        <v>2.61324E-2</v>
      </c>
      <c r="F26" s="365">
        <f t="shared" si="0"/>
        <v>2.9083179379882921E-2</v>
      </c>
      <c r="G26" s="365">
        <f t="shared" si="0"/>
        <v>0</v>
      </c>
      <c r="H26" s="365"/>
      <c r="I26" s="370">
        <f t="shared" si="1"/>
        <v>0</v>
      </c>
      <c r="J26" s="327">
        <f>E26*$J$79</f>
        <v>5232090.5588636352</v>
      </c>
      <c r="K26" s="327">
        <v>5232090.5588636352</v>
      </c>
      <c r="L26" s="327"/>
      <c r="M26" s="327"/>
      <c r="N26" s="328"/>
      <c r="O26" s="327">
        <f t="shared" si="2"/>
        <v>2259848</v>
      </c>
      <c r="P26" s="327">
        <v>2259848</v>
      </c>
      <c r="Q26" s="327"/>
      <c r="R26" s="327"/>
      <c r="S26" s="328"/>
      <c r="T26" s="327">
        <f>U26+V26+W26+X26</f>
        <v>1022000</v>
      </c>
      <c r="U26" s="193">
        <v>1022000</v>
      </c>
      <c r="V26" s="193"/>
      <c r="W26" s="193"/>
      <c r="X26" s="194"/>
      <c r="Y26" s="327">
        <f>Z26+AA26+AB26+AC26</f>
        <v>2152419.1678079995</v>
      </c>
      <c r="Z26" s="327">
        <v>2152419.1678079995</v>
      </c>
      <c r="AA26" s="327">
        <v>0</v>
      </c>
      <c r="AB26" s="327"/>
      <c r="AC26" s="328"/>
      <c r="AD26" s="327">
        <f>AE26+AF26+AG26+AH26</f>
        <v>1947839</v>
      </c>
      <c r="AE26" s="327">
        <v>1947839</v>
      </c>
      <c r="AF26" s="327"/>
      <c r="AG26" s="327"/>
      <c r="AH26" s="328"/>
      <c r="AI26" s="193">
        <v>2670012</v>
      </c>
      <c r="AJ26" s="193">
        <f>AI26-AL26-AM26</f>
        <v>2670012</v>
      </c>
      <c r="AK26" s="193"/>
      <c r="AL26" s="193"/>
      <c r="AM26" s="194"/>
      <c r="AN26" s="327">
        <f>AO26+AP26+AQ26+AR26</f>
        <v>1541407</v>
      </c>
      <c r="AO26" s="327">
        <v>1541407</v>
      </c>
      <c r="AP26" s="327"/>
      <c r="AQ26" s="327"/>
      <c r="AR26" s="328"/>
      <c r="AS26" s="327">
        <f>AT26+AU26+AV26+AW26</f>
        <v>259308</v>
      </c>
      <c r="AT26" s="327">
        <v>259308</v>
      </c>
      <c r="AU26" s="327">
        <v>0</v>
      </c>
      <c r="AV26" s="327">
        <v>0</v>
      </c>
      <c r="AW26" s="328">
        <v>0</v>
      </c>
      <c r="AX26" s="327">
        <f>AY26+AZ26+BA26+BB26</f>
        <v>7168001910.5710115</v>
      </c>
      <c r="AY26" s="327">
        <v>7168001910.5710115</v>
      </c>
      <c r="AZ26" s="327"/>
      <c r="BA26" s="327"/>
      <c r="BB26" s="328"/>
      <c r="BC26" s="328"/>
      <c r="BD26" s="182"/>
      <c r="BE26" s="182"/>
      <c r="BF26" s="182"/>
      <c r="BG26" s="182"/>
      <c r="BH26" s="182"/>
      <c r="BI26" s="182"/>
      <c r="BJ26" s="182"/>
      <c r="BK26" s="320">
        <f t="shared" ref="BK26:BK33" si="3">BM26+BO26+BQ26</f>
        <v>1022000</v>
      </c>
      <c r="BL26" s="321"/>
      <c r="BM26" s="320">
        <v>1022000</v>
      </c>
      <c r="BN26" s="321"/>
    </row>
    <row r="27" spans="2:66" ht="17.100000000000001" customHeight="1">
      <c r="B27" s="304"/>
      <c r="C27" s="195"/>
      <c r="D27" s="192" t="s">
        <v>133</v>
      </c>
      <c r="E27" s="365">
        <f t="shared" si="0"/>
        <v>0</v>
      </c>
      <c r="F27" s="365">
        <f t="shared" si="0"/>
        <v>0</v>
      </c>
      <c r="G27" s="365">
        <f t="shared" si="0"/>
        <v>0</v>
      </c>
      <c r="H27" s="365"/>
      <c r="I27" s="370">
        <f t="shared" si="1"/>
        <v>0</v>
      </c>
      <c r="J27" s="327">
        <f t="shared" ref="J27:J78" si="4">E27*$J$79</f>
        <v>0</v>
      </c>
      <c r="K27" s="327">
        <v>0</v>
      </c>
      <c r="L27" s="327"/>
      <c r="M27" s="327"/>
      <c r="N27" s="328"/>
      <c r="O27" s="327">
        <f t="shared" si="2"/>
        <v>0</v>
      </c>
      <c r="P27" s="327">
        <v>0</v>
      </c>
      <c r="Q27" s="327"/>
      <c r="R27" s="327"/>
      <c r="S27" s="328"/>
      <c r="T27" s="327">
        <f t="shared" ref="T27:T78" si="5">U27+V27+W27+X27</f>
        <v>0</v>
      </c>
      <c r="U27" s="193">
        <v>0</v>
      </c>
      <c r="V27" s="193"/>
      <c r="W27" s="193"/>
      <c r="X27" s="194"/>
      <c r="Y27" s="327">
        <f t="shared" ref="Y27:Y37" si="6">Z27+AA27+AB27+AC27</f>
        <v>0</v>
      </c>
      <c r="Z27" s="327">
        <v>0</v>
      </c>
      <c r="AA27" s="327">
        <v>0</v>
      </c>
      <c r="AB27" s="327"/>
      <c r="AC27" s="328"/>
      <c r="AD27" s="327">
        <f t="shared" ref="AD27:AD37" si="7">AE27+AF27+AG27+AH27</f>
        <v>0</v>
      </c>
      <c r="AE27" s="327">
        <v>0</v>
      </c>
      <c r="AF27" s="327"/>
      <c r="AG27" s="327"/>
      <c r="AH27" s="328"/>
      <c r="AI27" s="193">
        <v>0</v>
      </c>
      <c r="AJ27" s="193">
        <f t="shared" ref="AJ27:AJ37" si="8">AI27-AL27-AM27</f>
        <v>0</v>
      </c>
      <c r="AK27" s="193"/>
      <c r="AL27" s="193"/>
      <c r="AM27" s="194"/>
      <c r="AN27" s="327">
        <f t="shared" ref="AN27:AN78" si="9">AO27+AP27+AQ27+AR27</f>
        <v>0</v>
      </c>
      <c r="AO27" s="327">
        <v>0</v>
      </c>
      <c r="AP27" s="327"/>
      <c r="AQ27" s="327"/>
      <c r="AR27" s="328"/>
      <c r="AS27" s="327">
        <f t="shared" ref="AS27:AS78" si="10">AT27+AU27+AV27+AW27</f>
        <v>0</v>
      </c>
      <c r="AT27" s="327">
        <v>0</v>
      </c>
      <c r="AU27" s="327">
        <v>0</v>
      </c>
      <c r="AV27" s="327">
        <v>0</v>
      </c>
      <c r="AW27" s="328">
        <v>0</v>
      </c>
      <c r="AX27" s="327">
        <f t="shared" ref="AX27:AX37" si="11">AY27+AZ27+BA27+BB27</f>
        <v>0</v>
      </c>
      <c r="AY27" s="327">
        <v>0</v>
      </c>
      <c r="AZ27" s="327"/>
      <c r="BA27" s="327"/>
      <c r="BB27" s="328"/>
      <c r="BC27" s="328"/>
      <c r="BD27" s="182"/>
      <c r="BE27" s="182"/>
      <c r="BF27" s="182"/>
      <c r="BG27" s="182"/>
      <c r="BH27" s="182"/>
      <c r="BI27" s="182"/>
      <c r="BJ27" s="182"/>
      <c r="BK27" s="320">
        <f t="shared" si="3"/>
        <v>0</v>
      </c>
      <c r="BL27" s="321"/>
      <c r="BM27" s="320">
        <v>0</v>
      </c>
      <c r="BN27" s="321"/>
    </row>
    <row r="28" spans="2:66" ht="17.100000000000001" customHeight="1">
      <c r="B28" s="305"/>
      <c r="C28" s="196"/>
      <c r="D28" s="192" t="s">
        <v>134</v>
      </c>
      <c r="E28" s="365">
        <f t="shared" si="0"/>
        <v>1.0248E-2</v>
      </c>
      <c r="F28" s="365">
        <f t="shared" si="0"/>
        <v>1.1405168384267812E-2</v>
      </c>
      <c r="G28" s="365">
        <f t="shared" si="0"/>
        <v>0</v>
      </c>
      <c r="H28" s="365"/>
      <c r="I28" s="370">
        <f t="shared" si="1"/>
        <v>0</v>
      </c>
      <c r="J28" s="327">
        <f t="shared" si="4"/>
        <v>2051800.2191622099</v>
      </c>
      <c r="K28" s="327">
        <v>2051800.2191622099</v>
      </c>
      <c r="L28" s="327"/>
      <c r="M28" s="327"/>
      <c r="N28" s="328"/>
      <c r="O28" s="327">
        <f t="shared" si="2"/>
        <v>0</v>
      </c>
      <c r="P28" s="327">
        <v>0</v>
      </c>
      <c r="Q28" s="327"/>
      <c r="R28" s="327"/>
      <c r="S28" s="328"/>
      <c r="T28" s="327">
        <f t="shared" si="5"/>
        <v>0</v>
      </c>
      <c r="U28" s="193">
        <v>0</v>
      </c>
      <c r="V28" s="193"/>
      <c r="W28" s="193"/>
      <c r="X28" s="194"/>
      <c r="Y28" s="327">
        <f t="shared" si="6"/>
        <v>844085.9481599998</v>
      </c>
      <c r="Z28" s="327">
        <v>844085.9481599998</v>
      </c>
      <c r="AA28" s="327">
        <v>0</v>
      </c>
      <c r="AB28" s="327"/>
      <c r="AC28" s="328"/>
      <c r="AD28" s="327">
        <f t="shared" si="7"/>
        <v>671475</v>
      </c>
      <c r="AE28" s="327">
        <v>671475</v>
      </c>
      <c r="AF28" s="327"/>
      <c r="AG28" s="327"/>
      <c r="AH28" s="328"/>
      <c r="AI28" s="193">
        <v>1879907</v>
      </c>
      <c r="AJ28" s="193">
        <f t="shared" si="8"/>
        <v>1879907</v>
      </c>
      <c r="AK28" s="193"/>
      <c r="AL28" s="193"/>
      <c r="AM28" s="194"/>
      <c r="AN28" s="327">
        <f t="shared" si="9"/>
        <v>531366</v>
      </c>
      <c r="AO28" s="327">
        <v>531366</v>
      </c>
      <c r="AP28" s="327"/>
      <c r="AQ28" s="327"/>
      <c r="AR28" s="328"/>
      <c r="AS28" s="327">
        <f t="shared" si="10"/>
        <v>178200</v>
      </c>
      <c r="AT28" s="327">
        <v>178200</v>
      </c>
      <c r="AU28" s="327">
        <v>0</v>
      </c>
      <c r="AV28" s="327">
        <v>0</v>
      </c>
      <c r="AW28" s="328">
        <v>0</v>
      </c>
      <c r="AX28" s="327">
        <f t="shared" si="11"/>
        <v>273628157.04311061</v>
      </c>
      <c r="AY28" s="327">
        <v>273628157.04311061</v>
      </c>
      <c r="AZ28" s="327"/>
      <c r="BA28" s="327"/>
      <c r="BB28" s="328"/>
      <c r="BC28" s="328"/>
      <c r="BD28" s="182"/>
      <c r="BE28" s="182"/>
      <c r="BF28" s="182"/>
      <c r="BG28" s="182"/>
      <c r="BH28" s="182"/>
      <c r="BI28" s="182"/>
      <c r="BJ28" s="182"/>
      <c r="BK28" s="320">
        <f t="shared" si="3"/>
        <v>0</v>
      </c>
      <c r="BL28" s="321"/>
      <c r="BM28" s="320">
        <v>0</v>
      </c>
      <c r="BN28" s="321"/>
    </row>
    <row r="29" spans="2:66" ht="17.100000000000001" customHeight="1">
      <c r="B29" s="305"/>
      <c r="C29" s="196"/>
      <c r="D29" s="192" t="s">
        <v>135</v>
      </c>
      <c r="E29" s="365">
        <f t="shared" si="0"/>
        <v>0</v>
      </c>
      <c r="F29" s="365">
        <f t="shared" si="0"/>
        <v>0</v>
      </c>
      <c r="G29" s="365">
        <f t="shared" si="0"/>
        <v>0</v>
      </c>
      <c r="H29" s="365"/>
      <c r="I29" s="370">
        <f t="shared" si="1"/>
        <v>0</v>
      </c>
      <c r="J29" s="327">
        <f t="shared" si="4"/>
        <v>0</v>
      </c>
      <c r="K29" s="327">
        <v>0</v>
      </c>
      <c r="L29" s="327"/>
      <c r="M29" s="327"/>
      <c r="N29" s="328"/>
      <c r="O29" s="327">
        <f t="shared" si="2"/>
        <v>0</v>
      </c>
      <c r="P29" s="327">
        <v>0</v>
      </c>
      <c r="Q29" s="327"/>
      <c r="R29" s="327"/>
      <c r="S29" s="328"/>
      <c r="T29" s="327">
        <f t="shared" si="5"/>
        <v>59000</v>
      </c>
      <c r="U29" s="193">
        <v>59000</v>
      </c>
      <c r="V29" s="193"/>
      <c r="W29" s="193"/>
      <c r="X29" s="194"/>
      <c r="Y29" s="327">
        <f t="shared" si="6"/>
        <v>0</v>
      </c>
      <c r="Z29" s="327">
        <v>0</v>
      </c>
      <c r="AA29" s="327">
        <v>0</v>
      </c>
      <c r="AB29" s="327"/>
      <c r="AC29" s="328"/>
      <c r="AD29" s="327">
        <f t="shared" si="7"/>
        <v>0</v>
      </c>
      <c r="AE29" s="327">
        <v>0</v>
      </c>
      <c r="AF29" s="327"/>
      <c r="AG29" s="327"/>
      <c r="AH29" s="328"/>
      <c r="AI29" s="193">
        <v>0</v>
      </c>
      <c r="AJ29" s="193">
        <f t="shared" si="8"/>
        <v>0</v>
      </c>
      <c r="AK29" s="193"/>
      <c r="AL29" s="193"/>
      <c r="AM29" s="194"/>
      <c r="AN29" s="327">
        <f t="shared" si="9"/>
        <v>0</v>
      </c>
      <c r="AO29" s="327">
        <v>0</v>
      </c>
      <c r="AP29" s="327"/>
      <c r="AQ29" s="327"/>
      <c r="AR29" s="328"/>
      <c r="AS29" s="327">
        <f t="shared" si="10"/>
        <v>0</v>
      </c>
      <c r="AT29" s="327">
        <v>0</v>
      </c>
      <c r="AU29" s="327">
        <v>0</v>
      </c>
      <c r="AV29" s="327">
        <v>0</v>
      </c>
      <c r="AW29" s="328">
        <v>0</v>
      </c>
      <c r="AX29" s="327">
        <f t="shared" si="11"/>
        <v>0</v>
      </c>
      <c r="AY29" s="327">
        <v>0</v>
      </c>
      <c r="AZ29" s="327"/>
      <c r="BA29" s="327"/>
      <c r="BB29" s="328"/>
      <c r="BC29" s="328"/>
      <c r="BD29" s="182"/>
      <c r="BE29" s="182"/>
      <c r="BF29" s="182"/>
      <c r="BG29" s="182"/>
      <c r="BH29" s="182"/>
      <c r="BI29" s="182"/>
      <c r="BJ29" s="182"/>
      <c r="BK29" s="320">
        <f t="shared" si="3"/>
        <v>59000</v>
      </c>
      <c r="BL29" s="321"/>
      <c r="BM29" s="320">
        <v>59000</v>
      </c>
      <c r="BN29" s="321"/>
    </row>
    <row r="30" spans="2:66" ht="17.100000000000001" customHeight="1">
      <c r="B30" s="305"/>
      <c r="C30" s="196"/>
      <c r="D30" s="192" t="s">
        <v>136</v>
      </c>
      <c r="E30" s="365">
        <f t="shared" si="0"/>
        <v>3.5867999999999998E-3</v>
      </c>
      <c r="F30" s="365">
        <f t="shared" si="0"/>
        <v>3.9918089344937345E-3</v>
      </c>
      <c r="G30" s="365">
        <f t="shared" si="0"/>
        <v>0</v>
      </c>
      <c r="H30" s="365"/>
      <c r="I30" s="370">
        <f t="shared" si="1"/>
        <v>0</v>
      </c>
      <c r="J30" s="327">
        <f t="shared" si="4"/>
        <v>718130.07670677337</v>
      </c>
      <c r="K30" s="327">
        <v>718130.07670677337</v>
      </c>
      <c r="L30" s="327"/>
      <c r="M30" s="327"/>
      <c r="N30" s="328"/>
      <c r="O30" s="327">
        <f t="shared" si="2"/>
        <v>1129924</v>
      </c>
      <c r="P30" s="327">
        <v>1129924</v>
      </c>
      <c r="Q30" s="327"/>
      <c r="R30" s="327"/>
      <c r="S30" s="328"/>
      <c r="T30" s="327">
        <f t="shared" si="5"/>
        <v>532000</v>
      </c>
      <c r="U30" s="193">
        <v>532000</v>
      </c>
      <c r="V30" s="193"/>
      <c r="W30" s="193"/>
      <c r="X30" s="194"/>
      <c r="Y30" s="327">
        <f t="shared" si="6"/>
        <v>295430.08185599995</v>
      </c>
      <c r="Z30" s="327">
        <v>295430.08185599995</v>
      </c>
      <c r="AA30" s="327">
        <v>0</v>
      </c>
      <c r="AB30" s="327"/>
      <c r="AC30" s="328"/>
      <c r="AD30" s="327">
        <f t="shared" si="7"/>
        <v>1063168</v>
      </c>
      <c r="AE30" s="327">
        <v>1063168</v>
      </c>
      <c r="AF30" s="327"/>
      <c r="AG30" s="327"/>
      <c r="AH30" s="328"/>
      <c r="AI30" s="193">
        <v>3487363</v>
      </c>
      <c r="AJ30" s="193">
        <f>AI30-AL30-AM30</f>
        <v>3487363</v>
      </c>
      <c r="AK30" s="193"/>
      <c r="AL30" s="193"/>
      <c r="AM30" s="194"/>
      <c r="AN30" s="327">
        <f t="shared" si="9"/>
        <v>841329</v>
      </c>
      <c r="AO30" s="327">
        <v>841329</v>
      </c>
      <c r="AP30" s="327"/>
      <c r="AQ30" s="327"/>
      <c r="AR30" s="328"/>
      <c r="AS30" s="327">
        <f t="shared" si="10"/>
        <v>1210322</v>
      </c>
      <c r="AT30" s="327">
        <v>1210322</v>
      </c>
      <c r="AU30" s="327">
        <v>0</v>
      </c>
      <c r="AV30" s="327">
        <v>0</v>
      </c>
      <c r="AW30" s="328">
        <v>0</v>
      </c>
      <c r="AX30" s="327">
        <f t="shared" si="11"/>
        <v>2189025256.3448849</v>
      </c>
      <c r="AY30" s="327">
        <v>2189025256.3448849</v>
      </c>
      <c r="AZ30" s="327"/>
      <c r="BA30" s="327"/>
      <c r="BB30" s="328"/>
      <c r="BC30" s="328"/>
      <c r="BD30" s="182"/>
      <c r="BE30" s="182"/>
      <c r="BF30" s="182"/>
      <c r="BG30" s="182"/>
      <c r="BH30" s="182"/>
      <c r="BI30" s="182"/>
      <c r="BJ30" s="182"/>
      <c r="BK30" s="320">
        <f t="shared" si="3"/>
        <v>532000</v>
      </c>
      <c r="BL30" s="321"/>
      <c r="BM30" s="320">
        <v>532000</v>
      </c>
      <c r="BN30" s="321"/>
    </row>
    <row r="31" spans="2:66" ht="17.100000000000001" customHeight="1">
      <c r="B31" s="305"/>
      <c r="C31" s="196"/>
      <c r="D31" s="192" t="s">
        <v>137</v>
      </c>
      <c r="E31" s="365">
        <f t="shared" si="0"/>
        <v>0</v>
      </c>
      <c r="F31" s="365">
        <f t="shared" si="0"/>
        <v>0</v>
      </c>
      <c r="G31" s="365">
        <f t="shared" si="0"/>
        <v>0</v>
      </c>
      <c r="H31" s="365"/>
      <c r="I31" s="370">
        <f t="shared" si="1"/>
        <v>0</v>
      </c>
      <c r="J31" s="327">
        <f t="shared" si="4"/>
        <v>0</v>
      </c>
      <c r="K31" s="327">
        <v>0</v>
      </c>
      <c r="L31" s="327"/>
      <c r="M31" s="327"/>
      <c r="N31" s="328"/>
      <c r="O31" s="327">
        <f t="shared" si="2"/>
        <v>0</v>
      </c>
      <c r="P31" s="327">
        <v>0</v>
      </c>
      <c r="Q31" s="327"/>
      <c r="R31" s="327"/>
      <c r="S31" s="328"/>
      <c r="T31" s="327">
        <f t="shared" si="5"/>
        <v>0</v>
      </c>
      <c r="U31" s="193">
        <v>0</v>
      </c>
      <c r="V31" s="193"/>
      <c r="W31" s="193"/>
      <c r="X31" s="194"/>
      <c r="Y31" s="327">
        <f t="shared" si="6"/>
        <v>0</v>
      </c>
      <c r="Z31" s="327">
        <v>0</v>
      </c>
      <c r="AA31" s="327">
        <v>0</v>
      </c>
      <c r="AB31" s="327"/>
      <c r="AC31" s="328"/>
      <c r="AD31" s="327">
        <f t="shared" si="7"/>
        <v>0</v>
      </c>
      <c r="AE31" s="327">
        <v>0</v>
      </c>
      <c r="AF31" s="327"/>
      <c r="AG31" s="327"/>
      <c r="AH31" s="328"/>
      <c r="AI31" s="193">
        <v>0</v>
      </c>
      <c r="AJ31" s="193">
        <f t="shared" si="8"/>
        <v>0</v>
      </c>
      <c r="AK31" s="193"/>
      <c r="AL31" s="193"/>
      <c r="AM31" s="194"/>
      <c r="AN31" s="327">
        <f t="shared" si="9"/>
        <v>0</v>
      </c>
      <c r="AO31" s="327">
        <v>0</v>
      </c>
      <c r="AP31" s="327"/>
      <c r="AQ31" s="327"/>
      <c r="AR31" s="328"/>
      <c r="AS31" s="327">
        <f t="shared" si="10"/>
        <v>0</v>
      </c>
      <c r="AT31" s="327">
        <v>0</v>
      </c>
      <c r="AU31" s="327">
        <v>0</v>
      </c>
      <c r="AV31" s="327">
        <v>0</v>
      </c>
      <c r="AW31" s="328">
        <v>0</v>
      </c>
      <c r="AX31" s="327">
        <f t="shared" si="11"/>
        <v>0</v>
      </c>
      <c r="AY31" s="327">
        <v>0</v>
      </c>
      <c r="AZ31" s="327"/>
      <c r="BA31" s="327"/>
      <c r="BB31" s="328"/>
      <c r="BC31" s="328"/>
      <c r="BD31" s="182"/>
      <c r="BE31" s="182"/>
      <c r="BF31" s="182"/>
      <c r="BG31" s="182"/>
      <c r="BH31" s="182"/>
      <c r="BI31" s="182"/>
      <c r="BJ31" s="182"/>
      <c r="BK31" s="320">
        <f t="shared" si="3"/>
        <v>0</v>
      </c>
      <c r="BL31" s="321"/>
      <c r="BM31" s="320">
        <v>0</v>
      </c>
      <c r="BN31" s="321"/>
    </row>
    <row r="32" spans="2:66" ht="17.100000000000001" customHeight="1">
      <c r="B32" s="305"/>
      <c r="C32" s="196"/>
      <c r="D32" s="192" t="s">
        <v>138</v>
      </c>
      <c r="E32" s="365">
        <f t="shared" si="0"/>
        <v>1.8788E-4</v>
      </c>
      <c r="F32" s="365">
        <f t="shared" si="0"/>
        <v>2.0909475371157658E-4</v>
      </c>
      <c r="G32" s="365">
        <f t="shared" si="0"/>
        <v>0</v>
      </c>
      <c r="H32" s="365"/>
      <c r="I32" s="370">
        <f t="shared" si="1"/>
        <v>0</v>
      </c>
      <c r="J32" s="327">
        <f t="shared" si="4"/>
        <v>37616.337351307178</v>
      </c>
      <c r="K32" s="327">
        <v>37616.337351307178</v>
      </c>
      <c r="L32" s="327"/>
      <c r="M32" s="327"/>
      <c r="N32" s="328"/>
      <c r="O32" s="327">
        <f t="shared" si="2"/>
        <v>0</v>
      </c>
      <c r="P32" s="327">
        <v>0</v>
      </c>
      <c r="Q32" s="327"/>
      <c r="R32" s="327"/>
      <c r="S32" s="328"/>
      <c r="T32" s="327">
        <f t="shared" si="5"/>
        <v>69000</v>
      </c>
      <c r="U32" s="193">
        <v>69000</v>
      </c>
      <c r="V32" s="193"/>
      <c r="W32" s="193"/>
      <c r="X32" s="194"/>
      <c r="Y32" s="327">
        <f t="shared" si="6"/>
        <v>15474.909049599997</v>
      </c>
      <c r="Z32" s="327">
        <v>15474.909049599997</v>
      </c>
      <c r="AA32" s="327">
        <v>0</v>
      </c>
      <c r="AB32" s="327"/>
      <c r="AC32" s="328"/>
      <c r="AD32" s="327">
        <f t="shared" si="7"/>
        <v>0</v>
      </c>
      <c r="AE32" s="327">
        <v>0</v>
      </c>
      <c r="AF32" s="327"/>
      <c r="AG32" s="327"/>
      <c r="AH32" s="328"/>
      <c r="AI32" s="193">
        <v>0</v>
      </c>
      <c r="AJ32" s="193">
        <f t="shared" si="8"/>
        <v>0</v>
      </c>
      <c r="AK32" s="193"/>
      <c r="AL32" s="193"/>
      <c r="AM32" s="194"/>
      <c r="AN32" s="327">
        <f t="shared" si="9"/>
        <v>0</v>
      </c>
      <c r="AO32" s="327">
        <v>0</v>
      </c>
      <c r="AP32" s="327"/>
      <c r="AQ32" s="327"/>
      <c r="AR32" s="328"/>
      <c r="AS32" s="327">
        <f t="shared" si="10"/>
        <v>0</v>
      </c>
      <c r="AT32" s="327">
        <v>0</v>
      </c>
      <c r="AU32" s="327">
        <v>0</v>
      </c>
      <c r="AV32" s="327">
        <v>0</v>
      </c>
      <c r="AW32" s="328">
        <v>0</v>
      </c>
      <c r="AX32" s="327">
        <f t="shared" si="11"/>
        <v>0</v>
      </c>
      <c r="AY32" s="327">
        <v>0</v>
      </c>
      <c r="AZ32" s="327"/>
      <c r="BA32" s="327"/>
      <c r="BB32" s="328"/>
      <c r="BC32" s="328"/>
      <c r="BD32" s="182"/>
      <c r="BE32" s="182"/>
      <c r="BF32" s="182"/>
      <c r="BG32" s="182"/>
      <c r="BH32" s="182"/>
      <c r="BI32" s="182"/>
      <c r="BJ32" s="182"/>
      <c r="BK32" s="320">
        <f t="shared" si="3"/>
        <v>69000</v>
      </c>
      <c r="BL32" s="321"/>
      <c r="BM32" s="320">
        <v>69000</v>
      </c>
      <c r="BN32" s="321"/>
    </row>
    <row r="33" spans="1:66" ht="17.100000000000001" customHeight="1">
      <c r="B33" s="305"/>
      <c r="C33" s="196"/>
      <c r="D33" s="192" t="s">
        <v>139</v>
      </c>
      <c r="E33" s="365">
        <f t="shared" si="0"/>
        <v>6.481859999999999E-3</v>
      </c>
      <c r="F33" s="365">
        <f t="shared" si="0"/>
        <v>7.2137690030493907E-3</v>
      </c>
      <c r="G33" s="365">
        <f t="shared" si="0"/>
        <v>0</v>
      </c>
      <c r="H33" s="365"/>
      <c r="I33" s="370">
        <f t="shared" si="1"/>
        <v>0</v>
      </c>
      <c r="J33" s="327">
        <f t="shared" si="4"/>
        <v>1297763.6386200974</v>
      </c>
      <c r="K33" s="327">
        <v>1297763.6386200974</v>
      </c>
      <c r="L33" s="327"/>
      <c r="M33" s="327"/>
      <c r="N33" s="328"/>
      <c r="O33" s="327">
        <f t="shared" si="2"/>
        <v>1129924</v>
      </c>
      <c r="P33" s="327">
        <v>1129924</v>
      </c>
      <c r="Q33" s="327"/>
      <c r="R33" s="327"/>
      <c r="S33" s="328"/>
      <c r="T33" s="327">
        <f t="shared" si="5"/>
        <v>510000</v>
      </c>
      <c r="U33" s="193">
        <v>510000</v>
      </c>
      <c r="V33" s="193"/>
      <c r="W33" s="193"/>
      <c r="X33" s="194"/>
      <c r="Y33" s="327">
        <f t="shared" si="6"/>
        <v>533884.36221119983</v>
      </c>
      <c r="Z33" s="327">
        <v>533884.36221119983</v>
      </c>
      <c r="AA33" s="327">
        <v>0</v>
      </c>
      <c r="AB33" s="327"/>
      <c r="AC33" s="328"/>
      <c r="AD33" s="327">
        <f t="shared" si="7"/>
        <v>1063168</v>
      </c>
      <c r="AE33" s="327">
        <v>1063168</v>
      </c>
      <c r="AF33" s="327"/>
      <c r="AG33" s="327"/>
      <c r="AH33" s="328"/>
      <c r="AI33" s="193">
        <v>2942463</v>
      </c>
      <c r="AJ33" s="193">
        <f t="shared" si="8"/>
        <v>2942463</v>
      </c>
      <c r="AK33" s="193"/>
      <c r="AL33" s="193"/>
      <c r="AM33" s="194"/>
      <c r="AN33" s="327">
        <f t="shared" si="9"/>
        <v>841329</v>
      </c>
      <c r="AO33" s="327">
        <v>841329</v>
      </c>
      <c r="AP33" s="327"/>
      <c r="AQ33" s="327"/>
      <c r="AR33" s="328"/>
      <c r="AS33" s="327">
        <f t="shared" si="10"/>
        <v>0</v>
      </c>
      <c r="AT33" s="327">
        <v>0</v>
      </c>
      <c r="AU33" s="327">
        <v>0</v>
      </c>
      <c r="AV33" s="327">
        <v>0</v>
      </c>
      <c r="AW33" s="328">
        <v>0</v>
      </c>
      <c r="AX33" s="327">
        <f t="shared" si="11"/>
        <v>3899201237.864326</v>
      </c>
      <c r="AY33" s="327">
        <v>3899201237.864326</v>
      </c>
      <c r="AZ33" s="327"/>
      <c r="BA33" s="327"/>
      <c r="BB33" s="328"/>
      <c r="BC33" s="328"/>
      <c r="BD33" s="182"/>
      <c r="BE33" s="182"/>
      <c r="BF33" s="182"/>
      <c r="BG33" s="182"/>
      <c r="BH33" s="182"/>
      <c r="BI33" s="182"/>
      <c r="BJ33" s="182"/>
      <c r="BK33" s="320">
        <f t="shared" si="3"/>
        <v>510000</v>
      </c>
      <c r="BL33" s="321"/>
      <c r="BM33" s="320">
        <v>510000</v>
      </c>
      <c r="BN33" s="321"/>
    </row>
    <row r="34" spans="1:66" ht="17.100000000000001" customHeight="1">
      <c r="B34" s="305"/>
      <c r="C34" s="196"/>
      <c r="D34" s="192" t="s">
        <v>140</v>
      </c>
      <c r="E34" s="365">
        <f t="shared" si="0"/>
        <v>0</v>
      </c>
      <c r="F34" s="365">
        <f t="shared" si="0"/>
        <v>0</v>
      </c>
      <c r="G34" s="365">
        <f t="shared" si="0"/>
        <v>0</v>
      </c>
      <c r="H34" s="365"/>
      <c r="I34" s="370">
        <f t="shared" si="1"/>
        <v>0</v>
      </c>
      <c r="J34" s="327">
        <f t="shared" si="4"/>
        <v>0</v>
      </c>
      <c r="K34" s="327">
        <v>0</v>
      </c>
      <c r="L34" s="327"/>
      <c r="M34" s="327"/>
      <c r="N34" s="328"/>
      <c r="O34" s="327">
        <f t="shared" si="2"/>
        <v>0</v>
      </c>
      <c r="P34" s="327">
        <v>0</v>
      </c>
      <c r="Q34" s="327"/>
      <c r="R34" s="327"/>
      <c r="S34" s="328"/>
      <c r="T34" s="327">
        <f t="shared" si="5"/>
        <v>56000</v>
      </c>
      <c r="U34" s="193">
        <v>56000</v>
      </c>
      <c r="V34" s="193"/>
      <c r="W34" s="193"/>
      <c r="X34" s="194"/>
      <c r="Y34" s="327">
        <f t="shared" si="6"/>
        <v>0</v>
      </c>
      <c r="Z34" s="327">
        <v>0</v>
      </c>
      <c r="AA34" s="327">
        <v>0</v>
      </c>
      <c r="AB34" s="327"/>
      <c r="AC34" s="328"/>
      <c r="AD34" s="327">
        <f t="shared" si="7"/>
        <v>0</v>
      </c>
      <c r="AE34" s="327">
        <v>0</v>
      </c>
      <c r="AF34" s="327"/>
      <c r="AG34" s="327"/>
      <c r="AH34" s="328"/>
      <c r="AI34" s="193">
        <v>0</v>
      </c>
      <c r="AJ34" s="193">
        <f t="shared" si="8"/>
        <v>0</v>
      </c>
      <c r="AK34" s="193"/>
      <c r="AL34" s="193"/>
      <c r="AM34" s="194"/>
      <c r="AN34" s="327">
        <f t="shared" si="9"/>
        <v>0</v>
      </c>
      <c r="AO34" s="327">
        <v>0</v>
      </c>
      <c r="AP34" s="327"/>
      <c r="AQ34" s="327"/>
      <c r="AR34" s="328"/>
      <c r="AS34" s="327">
        <f t="shared" si="10"/>
        <v>140240</v>
      </c>
      <c r="AT34" s="327">
        <v>140240</v>
      </c>
      <c r="AU34" s="327">
        <v>0</v>
      </c>
      <c r="AV34" s="327">
        <v>0</v>
      </c>
      <c r="AW34" s="328">
        <v>0</v>
      </c>
      <c r="AX34" s="327">
        <f t="shared" si="11"/>
        <v>0</v>
      </c>
      <c r="AY34" s="327">
        <v>0</v>
      </c>
      <c r="AZ34" s="327"/>
      <c r="BA34" s="327"/>
      <c r="BB34" s="328"/>
      <c r="BC34" s="328"/>
      <c r="BD34" s="182"/>
      <c r="BE34" s="182"/>
      <c r="BF34" s="182"/>
      <c r="BG34" s="182"/>
      <c r="BH34" s="182"/>
      <c r="BI34" s="182"/>
      <c r="BJ34" s="182"/>
      <c r="BK34" s="320">
        <f>BM34+BO34+BQ34</f>
        <v>56000</v>
      </c>
      <c r="BL34" s="321"/>
      <c r="BM34" s="320">
        <v>56000</v>
      </c>
      <c r="BN34" s="321"/>
    </row>
    <row r="35" spans="1:66" ht="17.100000000000001" customHeight="1">
      <c r="B35" s="305"/>
      <c r="C35" s="196"/>
      <c r="D35" s="192" t="s">
        <v>141</v>
      </c>
      <c r="E35" s="365">
        <f t="shared" si="0"/>
        <v>0</v>
      </c>
      <c r="F35" s="365">
        <f t="shared" si="0"/>
        <v>0</v>
      </c>
      <c r="G35" s="365">
        <f t="shared" si="0"/>
        <v>0</v>
      </c>
      <c r="H35" s="365"/>
      <c r="I35" s="370">
        <f t="shared" si="1"/>
        <v>0</v>
      </c>
      <c r="J35" s="327">
        <f t="shared" si="4"/>
        <v>0</v>
      </c>
      <c r="K35" s="327">
        <v>0</v>
      </c>
      <c r="L35" s="327"/>
      <c r="M35" s="327"/>
      <c r="N35" s="328"/>
      <c r="O35" s="327">
        <f t="shared" si="2"/>
        <v>0</v>
      </c>
      <c r="P35" s="327">
        <v>0</v>
      </c>
      <c r="Q35" s="327"/>
      <c r="R35" s="327"/>
      <c r="S35" s="328"/>
      <c r="T35" s="327">
        <f t="shared" si="5"/>
        <v>26000</v>
      </c>
      <c r="U35" s="193">
        <v>26000</v>
      </c>
      <c r="V35" s="193"/>
      <c r="W35" s="193"/>
      <c r="X35" s="194"/>
      <c r="Y35" s="327">
        <f t="shared" si="6"/>
        <v>0</v>
      </c>
      <c r="Z35" s="327">
        <v>0</v>
      </c>
      <c r="AA35" s="327">
        <v>0</v>
      </c>
      <c r="AB35" s="327"/>
      <c r="AC35" s="328"/>
      <c r="AD35" s="327">
        <f t="shared" si="7"/>
        <v>0</v>
      </c>
      <c r="AE35" s="327">
        <v>0</v>
      </c>
      <c r="AF35" s="327"/>
      <c r="AG35" s="327"/>
      <c r="AH35" s="328"/>
      <c r="AI35" s="193">
        <v>0</v>
      </c>
      <c r="AJ35" s="193">
        <f t="shared" si="8"/>
        <v>0</v>
      </c>
      <c r="AK35" s="193"/>
      <c r="AL35" s="193"/>
      <c r="AM35" s="194"/>
      <c r="AN35" s="327">
        <f t="shared" si="9"/>
        <v>0</v>
      </c>
      <c r="AO35" s="327">
        <v>0</v>
      </c>
      <c r="AP35" s="327"/>
      <c r="AQ35" s="327"/>
      <c r="AR35" s="328"/>
      <c r="AS35" s="327">
        <f t="shared" si="10"/>
        <v>0</v>
      </c>
      <c r="AT35" s="327">
        <v>0</v>
      </c>
      <c r="AU35" s="327">
        <v>0</v>
      </c>
      <c r="AV35" s="327">
        <v>0</v>
      </c>
      <c r="AW35" s="328">
        <v>0</v>
      </c>
      <c r="AX35" s="327">
        <f t="shared" si="11"/>
        <v>0</v>
      </c>
      <c r="AY35" s="327">
        <v>0</v>
      </c>
      <c r="AZ35" s="327"/>
      <c r="BA35" s="327"/>
      <c r="BB35" s="328"/>
      <c r="BC35" s="328"/>
      <c r="BD35" s="182"/>
      <c r="BE35" s="182"/>
      <c r="BF35" s="182"/>
      <c r="BG35" s="182"/>
      <c r="BH35" s="182"/>
      <c r="BI35" s="182"/>
      <c r="BJ35" s="182"/>
      <c r="BK35" s="320">
        <f t="shared" ref="BK35:BK43" si="12">BM35+BO35+BQ35</f>
        <v>26000</v>
      </c>
      <c r="BL35" s="321"/>
      <c r="BM35" s="320">
        <v>26000</v>
      </c>
      <c r="BN35" s="321"/>
    </row>
    <row r="36" spans="1:66" s="180" customFormat="1" ht="17.100000000000001" customHeight="1">
      <c r="A36" s="179"/>
      <c r="B36" s="305"/>
      <c r="C36" s="196"/>
      <c r="D36" s="197" t="s">
        <v>142</v>
      </c>
      <c r="E36" s="365">
        <f t="shared" si="0"/>
        <v>1.5611119999999996E-2</v>
      </c>
      <c r="F36" s="365">
        <f t="shared" si="0"/>
        <v>1.7373873172034631E-2</v>
      </c>
      <c r="G36" s="365">
        <f t="shared" si="0"/>
        <v>0</v>
      </c>
      <c r="H36" s="365"/>
      <c r="I36" s="370">
        <f t="shared" si="1"/>
        <v>0</v>
      </c>
      <c r="J36" s="327">
        <f t="shared" si="4"/>
        <v>3125575.6671904321</v>
      </c>
      <c r="K36" s="327">
        <v>3125575.6671904321</v>
      </c>
      <c r="L36" s="327"/>
      <c r="M36" s="327"/>
      <c r="N36" s="328"/>
      <c r="O36" s="327">
        <f t="shared" si="2"/>
        <v>3631898</v>
      </c>
      <c r="P36" s="327">
        <v>3631898</v>
      </c>
      <c r="Q36" s="327"/>
      <c r="R36" s="327"/>
      <c r="S36" s="328"/>
      <c r="T36" s="327">
        <f t="shared" si="5"/>
        <v>1475000</v>
      </c>
      <c r="U36" s="193">
        <v>1475000</v>
      </c>
      <c r="V36" s="193"/>
      <c r="W36" s="193"/>
      <c r="X36" s="194"/>
      <c r="Y36" s="327">
        <f t="shared" si="6"/>
        <v>1285824.2610303995</v>
      </c>
      <c r="Z36" s="327">
        <v>1285824.2610303995</v>
      </c>
      <c r="AA36" s="327">
        <v>0</v>
      </c>
      <c r="AB36" s="327"/>
      <c r="AC36" s="328"/>
      <c r="AD36" s="327">
        <f t="shared" si="7"/>
        <v>5919313</v>
      </c>
      <c r="AE36" s="327">
        <v>5919313</v>
      </c>
      <c r="AF36" s="327"/>
      <c r="AG36" s="327"/>
      <c r="AH36" s="328"/>
      <c r="AI36" s="193">
        <v>5830435</v>
      </c>
      <c r="AJ36" s="193">
        <f>AI36-AL36-AM36</f>
        <v>5830435</v>
      </c>
      <c r="AK36" s="193"/>
      <c r="AL36" s="193"/>
      <c r="AM36" s="194"/>
      <c r="AN36" s="327">
        <f t="shared" si="9"/>
        <v>4684206</v>
      </c>
      <c r="AO36" s="327">
        <v>4684206</v>
      </c>
      <c r="AP36" s="327"/>
      <c r="AQ36" s="327"/>
      <c r="AR36" s="328"/>
      <c r="AS36" s="327">
        <f t="shared" si="10"/>
        <v>7314821</v>
      </c>
      <c r="AT36" s="327">
        <v>7314821</v>
      </c>
      <c r="AU36" s="327">
        <v>0</v>
      </c>
      <c r="AV36" s="327">
        <v>0</v>
      </c>
      <c r="AW36" s="328">
        <v>0</v>
      </c>
      <c r="AX36" s="327">
        <f t="shared" si="11"/>
        <v>8479025930.4701662</v>
      </c>
      <c r="AY36" s="327">
        <v>8479025930.4701662</v>
      </c>
      <c r="AZ36" s="327"/>
      <c r="BA36" s="327"/>
      <c r="BB36" s="328"/>
      <c r="BC36" s="328"/>
      <c r="BD36" s="182"/>
      <c r="BE36" s="182"/>
      <c r="BF36" s="182"/>
      <c r="BG36" s="182"/>
      <c r="BH36" s="182"/>
      <c r="BI36" s="182"/>
      <c r="BJ36" s="182"/>
      <c r="BK36" s="320">
        <f t="shared" si="12"/>
        <v>1475000</v>
      </c>
      <c r="BL36" s="321"/>
      <c r="BM36" s="320">
        <v>1475000</v>
      </c>
      <c r="BN36" s="321"/>
    </row>
    <row r="37" spans="1:66" s="180" customFormat="1" ht="17.100000000000001" customHeight="1">
      <c r="A37" s="179"/>
      <c r="B37" s="305"/>
      <c r="C37" s="196"/>
      <c r="D37" s="197" t="s">
        <v>143</v>
      </c>
      <c r="E37" s="365">
        <f t="shared" si="0"/>
        <v>1.8531799999999998E-3</v>
      </c>
      <c r="F37" s="365">
        <f t="shared" si="0"/>
        <v>2.0624346161550958E-3</v>
      </c>
      <c r="G37" s="365">
        <f t="shared" si="0"/>
        <v>0</v>
      </c>
      <c r="H37" s="365"/>
      <c r="I37" s="370">
        <f t="shared" si="1"/>
        <v>0</v>
      </c>
      <c r="J37" s="327">
        <f t="shared" si="4"/>
        <v>371033.87296516623</v>
      </c>
      <c r="K37" s="327">
        <v>371033.87296516623</v>
      </c>
      <c r="L37" s="327"/>
      <c r="M37" s="327"/>
      <c r="N37" s="328"/>
      <c r="O37" s="327">
        <f t="shared" si="2"/>
        <v>64567</v>
      </c>
      <c r="P37" s="327">
        <v>64567</v>
      </c>
      <c r="Q37" s="327"/>
      <c r="R37" s="327"/>
      <c r="S37" s="328"/>
      <c r="T37" s="327">
        <f t="shared" si="5"/>
        <v>751000</v>
      </c>
      <c r="U37" s="193">
        <v>751000</v>
      </c>
      <c r="V37" s="193"/>
      <c r="W37" s="193"/>
      <c r="X37" s="194"/>
      <c r="Y37" s="327">
        <f t="shared" si="6"/>
        <v>152638.87562559996</v>
      </c>
      <c r="Z37" s="327">
        <v>152638.87562559996</v>
      </c>
      <c r="AA37" s="327">
        <v>0</v>
      </c>
      <c r="AB37" s="327"/>
      <c r="AC37" s="328"/>
      <c r="AD37" s="327">
        <f t="shared" si="7"/>
        <v>0</v>
      </c>
      <c r="AE37" s="327">
        <v>0</v>
      </c>
      <c r="AF37" s="327"/>
      <c r="AG37" s="327"/>
      <c r="AH37" s="328"/>
      <c r="AI37" s="193">
        <v>1852662</v>
      </c>
      <c r="AJ37" s="193">
        <f t="shared" si="8"/>
        <v>1852662</v>
      </c>
      <c r="AK37" s="193"/>
      <c r="AL37" s="193"/>
      <c r="AM37" s="194"/>
      <c r="AN37" s="327">
        <f t="shared" si="9"/>
        <v>0</v>
      </c>
      <c r="AO37" s="327">
        <v>0</v>
      </c>
      <c r="AP37" s="327"/>
      <c r="AQ37" s="327"/>
      <c r="AR37" s="328"/>
      <c r="AS37" s="327">
        <f t="shared" si="10"/>
        <v>2151685</v>
      </c>
      <c r="AT37" s="327">
        <v>2151685</v>
      </c>
      <c r="AU37" s="327">
        <v>0</v>
      </c>
      <c r="AV37" s="327">
        <v>0</v>
      </c>
      <c r="AW37" s="328">
        <v>0</v>
      </c>
      <c r="AX37" s="327">
        <f t="shared" si="11"/>
        <v>0</v>
      </c>
      <c r="AY37" s="327">
        <v>0</v>
      </c>
      <c r="AZ37" s="327"/>
      <c r="BA37" s="327"/>
      <c r="BB37" s="328"/>
      <c r="BC37" s="328"/>
      <c r="BD37" s="182"/>
      <c r="BE37" s="182"/>
      <c r="BF37" s="182"/>
      <c r="BG37" s="182"/>
      <c r="BH37" s="182"/>
      <c r="BI37" s="182"/>
      <c r="BJ37" s="182"/>
      <c r="BK37" s="320">
        <f t="shared" si="12"/>
        <v>751000</v>
      </c>
      <c r="BL37" s="321"/>
      <c r="BM37" s="320">
        <v>751000</v>
      </c>
      <c r="BN37" s="321"/>
    </row>
    <row r="38" spans="1:66" s="180" customFormat="1" ht="17.100000000000001" customHeight="1">
      <c r="A38" s="179"/>
      <c r="B38" s="305"/>
      <c r="C38" s="198"/>
      <c r="D38" s="199" t="s">
        <v>144</v>
      </c>
      <c r="E38" s="366">
        <f t="shared" si="0"/>
        <v>8.5400000000000004E-2</v>
      </c>
      <c r="F38" s="366">
        <f t="shared" si="0"/>
        <v>9.5043069868898447E-2</v>
      </c>
      <c r="G38" s="366">
        <f t="shared" si="0"/>
        <v>0</v>
      </c>
      <c r="H38" s="366"/>
      <c r="I38" s="371">
        <f t="shared" si="1"/>
        <v>0</v>
      </c>
      <c r="J38" s="335">
        <f>SUM(J25:J37)</f>
        <v>17098335.159685083</v>
      </c>
      <c r="K38" s="335">
        <v>17098335.159685083</v>
      </c>
      <c r="L38" s="335">
        <v>0</v>
      </c>
      <c r="M38" s="335">
        <v>0</v>
      </c>
      <c r="N38" s="336">
        <v>0</v>
      </c>
      <c r="O38" s="335">
        <f>SUM(O25:O37)</f>
        <v>10669710</v>
      </c>
      <c r="P38" s="335">
        <v>10669710</v>
      </c>
      <c r="Q38" s="335">
        <v>0</v>
      </c>
      <c r="R38" s="335">
        <v>0</v>
      </c>
      <c r="S38" s="336">
        <v>0</v>
      </c>
      <c r="T38" s="335">
        <f>SUM(T25:T37)</f>
        <v>8104000</v>
      </c>
      <c r="U38" s="200">
        <v>8104000</v>
      </c>
      <c r="V38" s="200">
        <f>SUM(V25:V37)</f>
        <v>0</v>
      </c>
      <c r="W38" s="200">
        <f>SUM(W25:W37)</f>
        <v>0</v>
      </c>
      <c r="X38" s="201">
        <f>SUM(X25:X37)</f>
        <v>0</v>
      </c>
      <c r="Y38" s="335">
        <f>SUM(Y25:Y37)</f>
        <v>7034049.567999999</v>
      </c>
      <c r="Z38" s="335">
        <v>7034049.567999999</v>
      </c>
      <c r="AA38" s="335">
        <v>0</v>
      </c>
      <c r="AB38" s="335">
        <v>0</v>
      </c>
      <c r="AC38" s="336">
        <v>0</v>
      </c>
      <c r="AD38" s="335">
        <f>SUM(AD25:AD37)</f>
        <v>17185989</v>
      </c>
      <c r="AE38" s="335">
        <v>17185989</v>
      </c>
      <c r="AF38" s="335">
        <v>0</v>
      </c>
      <c r="AG38" s="335">
        <v>0</v>
      </c>
      <c r="AH38" s="336">
        <v>0</v>
      </c>
      <c r="AI38" s="200">
        <f t="shared" ref="AI38:AS38" si="13">SUM(AI25:AI37)</f>
        <v>24002867</v>
      </c>
      <c r="AJ38" s="200">
        <f t="shared" si="13"/>
        <v>24002867</v>
      </c>
      <c r="AK38" s="200">
        <f t="shared" si="13"/>
        <v>0</v>
      </c>
      <c r="AL38" s="200">
        <f t="shared" si="13"/>
        <v>0</v>
      </c>
      <c r="AM38" s="201">
        <f t="shared" si="13"/>
        <v>0</v>
      </c>
      <c r="AN38" s="335">
        <f t="shared" si="13"/>
        <v>13600000</v>
      </c>
      <c r="AO38" s="335">
        <f t="shared" si="13"/>
        <v>13600000</v>
      </c>
      <c r="AP38" s="335">
        <f t="shared" si="13"/>
        <v>0</v>
      </c>
      <c r="AQ38" s="335">
        <f t="shared" si="13"/>
        <v>0</v>
      </c>
      <c r="AR38" s="336">
        <f t="shared" si="13"/>
        <v>0</v>
      </c>
      <c r="AS38" s="335">
        <f t="shared" si="13"/>
        <v>13452684</v>
      </c>
      <c r="AT38" s="335">
        <v>13452684</v>
      </c>
      <c r="AU38" s="335">
        <f>SUM(AU25:AU37)</f>
        <v>0</v>
      </c>
      <c r="AV38" s="335">
        <f>SUM(AV25:AV37)</f>
        <v>0</v>
      </c>
      <c r="AW38" s="336">
        <f>SUM(AW25:AW37)</f>
        <v>0</v>
      </c>
      <c r="AX38" s="335">
        <f>SUM(AX25:AX37)</f>
        <v>50826430170.757812</v>
      </c>
      <c r="AY38" s="335">
        <v>50826430170.757812</v>
      </c>
      <c r="AZ38" s="335">
        <v>0</v>
      </c>
      <c r="BA38" s="335">
        <v>0</v>
      </c>
      <c r="BB38" s="336">
        <v>0</v>
      </c>
      <c r="BC38" s="336"/>
      <c r="BD38" s="182"/>
      <c r="BE38" s="182"/>
      <c r="BF38" s="182"/>
      <c r="BG38" s="182"/>
      <c r="BH38" s="182"/>
      <c r="BI38" s="182"/>
      <c r="BJ38" s="182"/>
      <c r="BK38" s="320">
        <f>SUM(BK25:BL37)</f>
        <v>8104000</v>
      </c>
      <c r="BL38" s="321"/>
      <c r="BM38" s="320">
        <f>SUM(BM25:BN37)</f>
        <v>8104000</v>
      </c>
      <c r="BN38" s="321"/>
    </row>
    <row r="39" spans="1:66" s="180" customFormat="1" ht="17.100000000000001" customHeight="1">
      <c r="A39" s="179"/>
      <c r="B39" s="305"/>
      <c r="C39" s="191" t="s">
        <v>145</v>
      </c>
      <c r="D39" s="197" t="s">
        <v>146</v>
      </c>
      <c r="E39" s="365">
        <f t="shared" si="0"/>
        <v>3.2850900000000002E-2</v>
      </c>
      <c r="F39" s="365">
        <f t="shared" si="0"/>
        <v>3.6560308945622906E-2</v>
      </c>
      <c r="G39" s="365">
        <f t="shared" si="0"/>
        <v>0</v>
      </c>
      <c r="H39" s="365"/>
      <c r="I39" s="370">
        <f t="shared" si="1"/>
        <v>0</v>
      </c>
      <c r="J39" s="327">
        <f t="shared" si="4"/>
        <v>6577233.0034812493</v>
      </c>
      <c r="K39" s="327">
        <v>6577233.0034812493</v>
      </c>
      <c r="L39" s="327">
        <v>0</v>
      </c>
      <c r="M39" s="327">
        <v>0</v>
      </c>
      <c r="N39" s="328">
        <v>0</v>
      </c>
      <c r="O39" s="327">
        <f t="shared" ref="O39:O61" si="14">P39+Q39+R39+S39</f>
        <v>3869633</v>
      </c>
      <c r="P39" s="327">
        <v>3869633</v>
      </c>
      <c r="Q39" s="327">
        <v>0</v>
      </c>
      <c r="R39" s="327">
        <v>0</v>
      </c>
      <c r="S39" s="328">
        <v>0</v>
      </c>
      <c r="T39" s="327">
        <f t="shared" si="5"/>
        <v>2857000</v>
      </c>
      <c r="U39" s="193">
        <v>2857000</v>
      </c>
      <c r="V39" s="193"/>
      <c r="W39" s="193"/>
      <c r="X39" s="194"/>
      <c r="Y39" s="327">
        <f t="shared" ref="Y39:Y61" si="15">Z39+AA39+AB39+AC39</f>
        <v>2705794.601328</v>
      </c>
      <c r="Z39" s="342">
        <v>2705794.601328</v>
      </c>
      <c r="AA39" s="327">
        <v>0</v>
      </c>
      <c r="AB39" s="327">
        <v>0</v>
      </c>
      <c r="AC39" s="328">
        <v>0</v>
      </c>
      <c r="AD39" s="327">
        <f t="shared" ref="AD39:AD61" si="16">AE39+AF39+AG39+AH39</f>
        <v>3326752</v>
      </c>
      <c r="AE39" s="327">
        <v>3326752</v>
      </c>
      <c r="AF39" s="327">
        <v>0</v>
      </c>
      <c r="AG39" s="327">
        <v>0</v>
      </c>
      <c r="AH39" s="328">
        <v>0</v>
      </c>
      <c r="AI39" s="193">
        <v>9780964</v>
      </c>
      <c r="AJ39" s="193">
        <f t="shared" ref="AJ39:AJ61" si="17">AI39-AL39-AM39</f>
        <v>9780964</v>
      </c>
      <c r="AK39" s="193"/>
      <c r="AL39" s="193"/>
      <c r="AM39" s="194"/>
      <c r="AN39" s="327">
        <f t="shared" si="9"/>
        <v>2372021</v>
      </c>
      <c r="AO39" s="327">
        <v>2372021</v>
      </c>
      <c r="AP39" s="327"/>
      <c r="AQ39" s="327"/>
      <c r="AR39" s="328"/>
      <c r="AS39" s="327">
        <f t="shared" si="10"/>
        <v>6153002</v>
      </c>
      <c r="AT39" s="327">
        <v>6153002</v>
      </c>
      <c r="AU39" s="327">
        <v>0</v>
      </c>
      <c r="AV39" s="327">
        <v>0</v>
      </c>
      <c r="AW39" s="328">
        <v>0</v>
      </c>
      <c r="AX39" s="327">
        <f t="shared" ref="AX39:AX61" si="18">AY39+AZ39+BA39+BB39</f>
        <v>21398202361.580372</v>
      </c>
      <c r="AY39" s="327">
        <v>21398202361.580372</v>
      </c>
      <c r="AZ39" s="327">
        <v>0</v>
      </c>
      <c r="BA39" s="327">
        <v>0</v>
      </c>
      <c r="BB39" s="328">
        <v>0</v>
      </c>
      <c r="BC39" s="328"/>
      <c r="BD39" s="182"/>
      <c r="BE39" s="182"/>
      <c r="BF39" s="182"/>
      <c r="BG39" s="182"/>
      <c r="BH39" s="182"/>
      <c r="BI39" s="182"/>
      <c r="BJ39" s="182"/>
      <c r="BK39" s="320">
        <f>BM39+BO39+BQ39</f>
        <v>2857000</v>
      </c>
      <c r="BL39" s="321"/>
      <c r="BM39" s="320">
        <v>2857000</v>
      </c>
      <c r="BN39" s="321"/>
    </row>
    <row r="40" spans="1:66" s="180" customFormat="1" ht="17.100000000000001" customHeight="1">
      <c r="A40" s="179"/>
      <c r="B40" s="305"/>
      <c r="C40" s="195" t="s">
        <v>147</v>
      </c>
      <c r="D40" s="197" t="s">
        <v>148</v>
      </c>
      <c r="E40" s="365">
        <f t="shared" si="0"/>
        <v>1.1240100000000001E-2</v>
      </c>
      <c r="F40" s="365">
        <f t="shared" si="0"/>
        <v>1.2509292852850183E-2</v>
      </c>
      <c r="G40" s="365">
        <f t="shared" si="0"/>
        <v>0</v>
      </c>
      <c r="H40" s="365"/>
      <c r="I40" s="370">
        <f t="shared" si="1"/>
        <v>0</v>
      </c>
      <c r="J40" s="327">
        <f t="shared" si="4"/>
        <v>2250433.2204727903</v>
      </c>
      <c r="K40" s="327">
        <v>2250433.2204727903</v>
      </c>
      <c r="L40" s="327"/>
      <c r="M40" s="327"/>
      <c r="N40" s="328"/>
      <c r="O40" s="327">
        <f t="shared" si="14"/>
        <v>769169</v>
      </c>
      <c r="P40" s="327">
        <v>769169</v>
      </c>
      <c r="Q40" s="327"/>
      <c r="R40" s="327"/>
      <c r="S40" s="328"/>
      <c r="T40" s="327">
        <f t="shared" si="5"/>
        <v>1100000</v>
      </c>
      <c r="U40" s="193">
        <v>1100000</v>
      </c>
      <c r="V40" s="193"/>
      <c r="W40" s="193"/>
      <c r="X40" s="194"/>
      <c r="Y40" s="327">
        <f t="shared" si="15"/>
        <v>925801.17739199998</v>
      </c>
      <c r="Z40" s="342">
        <v>925801.17739199998</v>
      </c>
      <c r="AA40" s="327">
        <v>0</v>
      </c>
      <c r="AB40" s="327"/>
      <c r="AC40" s="328"/>
      <c r="AD40" s="327">
        <f t="shared" si="16"/>
        <v>1056611</v>
      </c>
      <c r="AE40" s="327">
        <v>1056611</v>
      </c>
      <c r="AF40" s="327"/>
      <c r="AG40" s="327"/>
      <c r="AH40" s="328"/>
      <c r="AI40" s="193">
        <v>2860728</v>
      </c>
      <c r="AJ40" s="193">
        <f t="shared" si="17"/>
        <v>2860728</v>
      </c>
      <c r="AK40" s="193"/>
      <c r="AL40" s="193"/>
      <c r="AM40" s="194"/>
      <c r="AN40" s="327">
        <f t="shared" si="9"/>
        <v>753378</v>
      </c>
      <c r="AO40" s="327">
        <v>753378</v>
      </c>
      <c r="AP40" s="327"/>
      <c r="AQ40" s="327"/>
      <c r="AR40" s="328"/>
      <c r="AS40" s="327">
        <f t="shared" si="10"/>
        <v>619704</v>
      </c>
      <c r="AT40" s="327">
        <v>619704</v>
      </c>
      <c r="AU40" s="327">
        <v>0</v>
      </c>
      <c r="AV40" s="327">
        <v>0</v>
      </c>
      <c r="AW40" s="328">
        <v>0</v>
      </c>
      <c r="AX40" s="327">
        <f t="shared" si="18"/>
        <v>5895423099.6190825</v>
      </c>
      <c r="AY40" s="327">
        <v>5895423099.6190825</v>
      </c>
      <c r="AZ40" s="327"/>
      <c r="BA40" s="327"/>
      <c r="BB40" s="328"/>
      <c r="BC40" s="328"/>
      <c r="BD40" s="182"/>
      <c r="BE40" s="182"/>
      <c r="BF40" s="182"/>
      <c r="BG40" s="182"/>
      <c r="BH40" s="182"/>
      <c r="BI40" s="182"/>
      <c r="BJ40" s="182"/>
      <c r="BK40" s="320">
        <f t="shared" si="12"/>
        <v>1100000</v>
      </c>
      <c r="BL40" s="321"/>
      <c r="BM40" s="320">
        <v>1100000</v>
      </c>
      <c r="BN40" s="321"/>
    </row>
    <row r="41" spans="1:66" s="180" customFormat="1" ht="17.100000000000001" customHeight="1">
      <c r="A41" s="179"/>
      <c r="B41" s="305"/>
      <c r="C41" s="196"/>
      <c r="D41" s="192" t="s">
        <v>149</v>
      </c>
      <c r="E41" s="365">
        <f t="shared" ref="E41:G79" si="19">Y41/Y$79</f>
        <v>1.5214500000000002E-2</v>
      </c>
      <c r="F41" s="365">
        <f t="shared" si="19"/>
        <v>1.6932468226233673E-2</v>
      </c>
      <c r="G41" s="365">
        <f t="shared" si="19"/>
        <v>0</v>
      </c>
      <c r="H41" s="365"/>
      <c r="I41" s="370">
        <f t="shared" si="1"/>
        <v>0</v>
      </c>
      <c r="J41" s="327">
        <f t="shared" si="4"/>
        <v>3046166.5138996337</v>
      </c>
      <c r="K41" s="327">
        <v>3046166.5138996337</v>
      </c>
      <c r="L41" s="327"/>
      <c r="M41" s="327"/>
      <c r="N41" s="328"/>
      <c r="O41" s="327">
        <f t="shared" si="14"/>
        <v>1942746</v>
      </c>
      <c r="P41" s="327">
        <v>1942746</v>
      </c>
      <c r="Q41" s="327"/>
      <c r="R41" s="327"/>
      <c r="S41" s="328"/>
      <c r="T41" s="327">
        <f t="shared" si="5"/>
        <v>5936000</v>
      </c>
      <c r="U41" s="193">
        <v>5936000</v>
      </c>
      <c r="V41" s="193"/>
      <c r="W41" s="193"/>
      <c r="X41" s="194"/>
      <c r="Y41" s="327">
        <f t="shared" si="15"/>
        <v>1253156.28984</v>
      </c>
      <c r="Z41" s="342">
        <v>1253156.28984</v>
      </c>
      <c r="AA41" s="327">
        <v>0</v>
      </c>
      <c r="AB41" s="327"/>
      <c r="AC41" s="328"/>
      <c r="AD41" s="327">
        <f t="shared" si="16"/>
        <v>824850</v>
      </c>
      <c r="AE41" s="327">
        <v>824850</v>
      </c>
      <c r="AF41" s="327"/>
      <c r="AG41" s="327"/>
      <c r="AH41" s="328"/>
      <c r="AI41" s="193">
        <v>16537730</v>
      </c>
      <c r="AJ41" s="193">
        <f t="shared" si="17"/>
        <v>16537730</v>
      </c>
      <c r="AK41" s="193"/>
      <c r="AL41" s="193"/>
      <c r="AM41" s="194"/>
      <c r="AN41" s="327">
        <f t="shared" si="9"/>
        <v>588129</v>
      </c>
      <c r="AO41" s="327">
        <v>588129</v>
      </c>
      <c r="AP41" s="327"/>
      <c r="AQ41" s="327"/>
      <c r="AR41" s="328"/>
      <c r="AS41" s="327">
        <f t="shared" si="10"/>
        <v>1112581</v>
      </c>
      <c r="AT41" s="327">
        <v>1112581</v>
      </c>
      <c r="AU41" s="327">
        <v>0</v>
      </c>
      <c r="AV41" s="327">
        <v>0</v>
      </c>
      <c r="AW41" s="328">
        <v>0</v>
      </c>
      <c r="AX41" s="327">
        <f t="shared" si="18"/>
        <v>17850031051.624443</v>
      </c>
      <c r="AY41" s="327">
        <v>17850031051.624443</v>
      </c>
      <c r="AZ41" s="327"/>
      <c r="BA41" s="327"/>
      <c r="BB41" s="328"/>
      <c r="BC41" s="328"/>
      <c r="BD41" s="182"/>
      <c r="BE41" s="182"/>
      <c r="BF41" s="182"/>
      <c r="BG41" s="182"/>
      <c r="BH41" s="182"/>
      <c r="BI41" s="182"/>
      <c r="BJ41" s="182"/>
      <c r="BK41" s="320">
        <f t="shared" si="12"/>
        <v>5936000</v>
      </c>
      <c r="BL41" s="321"/>
      <c r="BM41" s="320">
        <v>5936000</v>
      </c>
      <c r="BN41" s="321"/>
    </row>
    <row r="42" spans="1:66" s="180" customFormat="1" ht="17.100000000000001" customHeight="1">
      <c r="A42" s="179"/>
      <c r="B42" s="305"/>
      <c r="C42" s="196"/>
      <c r="D42" s="192" t="s">
        <v>150</v>
      </c>
      <c r="E42" s="365">
        <f t="shared" si="19"/>
        <v>2.9187000000000002E-3</v>
      </c>
      <c r="F42" s="365">
        <f t="shared" si="19"/>
        <v>3.2482694148284999E-3</v>
      </c>
      <c r="G42" s="365">
        <f t="shared" si="19"/>
        <v>0</v>
      </c>
      <c r="H42" s="365"/>
      <c r="I42" s="370">
        <f t="shared" si="1"/>
        <v>0</v>
      </c>
      <c r="J42" s="327">
        <f t="shared" si="4"/>
        <v>584366.63736033789</v>
      </c>
      <c r="K42" s="327">
        <v>584366.63736033789</v>
      </c>
      <c r="L42" s="327"/>
      <c r="M42" s="327"/>
      <c r="N42" s="328"/>
      <c r="O42" s="327">
        <f t="shared" si="14"/>
        <v>0</v>
      </c>
      <c r="P42" s="327">
        <v>0</v>
      </c>
      <c r="Q42" s="327"/>
      <c r="R42" s="327"/>
      <c r="S42" s="328"/>
      <c r="T42" s="327">
        <f t="shared" si="5"/>
        <v>0</v>
      </c>
      <c r="U42" s="193">
        <v>0</v>
      </c>
      <c r="V42" s="193"/>
      <c r="W42" s="193"/>
      <c r="X42" s="194"/>
      <c r="Y42" s="327">
        <f t="shared" si="15"/>
        <v>240401.41070399998</v>
      </c>
      <c r="Z42" s="327">
        <v>240401.41070399998</v>
      </c>
      <c r="AA42" s="327">
        <v>0</v>
      </c>
      <c r="AB42" s="327"/>
      <c r="AC42" s="328"/>
      <c r="AD42" s="327">
        <f t="shared" si="16"/>
        <v>0</v>
      </c>
      <c r="AE42" s="327">
        <v>0</v>
      </c>
      <c r="AF42" s="327"/>
      <c r="AG42" s="327"/>
      <c r="AH42" s="328"/>
      <c r="AI42" s="193">
        <v>0</v>
      </c>
      <c r="AJ42" s="193">
        <f t="shared" si="17"/>
        <v>0</v>
      </c>
      <c r="AK42" s="193"/>
      <c r="AL42" s="193"/>
      <c r="AM42" s="194"/>
      <c r="AN42" s="327">
        <f t="shared" si="9"/>
        <v>0</v>
      </c>
      <c r="AO42" s="327">
        <v>0</v>
      </c>
      <c r="AP42" s="327"/>
      <c r="AQ42" s="327"/>
      <c r="AR42" s="328"/>
      <c r="AS42" s="327">
        <f t="shared" si="10"/>
        <v>15641</v>
      </c>
      <c r="AT42" s="327">
        <v>15641</v>
      </c>
      <c r="AU42" s="327">
        <v>0</v>
      </c>
      <c r="AV42" s="327">
        <v>0</v>
      </c>
      <c r="AW42" s="328">
        <v>0</v>
      </c>
      <c r="AX42" s="327">
        <f t="shared" si="18"/>
        <v>0</v>
      </c>
      <c r="AY42" s="327">
        <v>0</v>
      </c>
      <c r="AZ42" s="327"/>
      <c r="BA42" s="327"/>
      <c r="BB42" s="328"/>
      <c r="BC42" s="328"/>
      <c r="BD42" s="182"/>
      <c r="BE42" s="182"/>
      <c r="BF42" s="182"/>
      <c r="BG42" s="182"/>
      <c r="BH42" s="182"/>
      <c r="BI42" s="182"/>
      <c r="BJ42" s="182"/>
      <c r="BK42" s="320">
        <f t="shared" si="12"/>
        <v>0</v>
      </c>
      <c r="BL42" s="321"/>
      <c r="BM42" s="320">
        <v>0</v>
      </c>
      <c r="BN42" s="321"/>
    </row>
    <row r="43" spans="1:66" s="180" customFormat="1" ht="17.100000000000001" customHeight="1">
      <c r="A43" s="179"/>
      <c r="B43" s="305"/>
      <c r="C43" s="196"/>
      <c r="D43" s="192" t="s">
        <v>151</v>
      </c>
      <c r="E43" s="365">
        <f t="shared" si="19"/>
        <v>0.274482</v>
      </c>
      <c r="F43" s="365">
        <f t="shared" si="19"/>
        <v>0.3054755492242972</v>
      </c>
      <c r="G43" s="365">
        <f t="shared" si="19"/>
        <v>0</v>
      </c>
      <c r="H43" s="365"/>
      <c r="I43" s="370">
        <f t="shared" si="1"/>
        <v>0</v>
      </c>
      <c r="J43" s="327">
        <f t="shared" si="4"/>
        <v>54955330.57729134</v>
      </c>
      <c r="K43" s="327">
        <v>54955330.57729134</v>
      </c>
      <c r="L43" s="327"/>
      <c r="M43" s="327"/>
      <c r="N43" s="328"/>
      <c r="O43" s="327">
        <f t="shared" si="14"/>
        <v>37321871</v>
      </c>
      <c r="P43" s="327">
        <v>37321871</v>
      </c>
      <c r="Q43" s="327"/>
      <c r="R43" s="327"/>
      <c r="S43" s="328"/>
      <c r="T43" s="327">
        <f t="shared" si="5"/>
        <v>31600000</v>
      </c>
      <c r="U43" s="193">
        <v>31600000</v>
      </c>
      <c r="V43" s="193"/>
      <c r="W43" s="193"/>
      <c r="X43" s="194"/>
      <c r="Y43" s="327">
        <f t="shared" si="15"/>
        <v>22607962.453439996</v>
      </c>
      <c r="Z43" s="342">
        <v>22607962.453439996</v>
      </c>
      <c r="AA43" s="327">
        <v>0</v>
      </c>
      <c r="AB43" s="327"/>
      <c r="AC43" s="328"/>
      <c r="AD43" s="327">
        <f t="shared" si="16"/>
        <v>54323138</v>
      </c>
      <c r="AE43" s="327">
        <v>54323138</v>
      </c>
      <c r="AF43" s="327"/>
      <c r="AG43" s="327"/>
      <c r="AH43" s="328"/>
      <c r="AI43" s="193">
        <v>60756405</v>
      </c>
      <c r="AJ43" s="193">
        <f t="shared" si="17"/>
        <v>60756405</v>
      </c>
      <c r="AK43" s="193"/>
      <c r="AL43" s="193"/>
      <c r="AM43" s="194"/>
      <c r="AN43" s="327">
        <f t="shared" si="9"/>
        <v>38733164</v>
      </c>
      <c r="AO43" s="327">
        <v>38733164</v>
      </c>
      <c r="AP43" s="327"/>
      <c r="AQ43" s="327"/>
      <c r="AR43" s="328"/>
      <c r="AS43" s="327">
        <f t="shared" si="10"/>
        <v>61208335</v>
      </c>
      <c r="AT43" s="327">
        <v>61208335</v>
      </c>
      <c r="AU43" s="327">
        <v>0</v>
      </c>
      <c r="AV43" s="327">
        <v>0</v>
      </c>
      <c r="AW43" s="328">
        <v>0</v>
      </c>
      <c r="AX43" s="327">
        <f t="shared" si="18"/>
        <v>131705311272.79092</v>
      </c>
      <c r="AY43" s="327">
        <v>131705311272.79092</v>
      </c>
      <c r="AZ43" s="327"/>
      <c r="BA43" s="327"/>
      <c r="BB43" s="328"/>
      <c r="BC43" s="328"/>
      <c r="BD43" s="182"/>
      <c r="BE43" s="182"/>
      <c r="BF43" s="182"/>
      <c r="BG43" s="182"/>
      <c r="BH43" s="182"/>
      <c r="BI43" s="182"/>
      <c r="BJ43" s="182"/>
      <c r="BK43" s="320">
        <f t="shared" si="12"/>
        <v>31600000</v>
      </c>
      <c r="BL43" s="321"/>
      <c r="BM43" s="320">
        <v>31600000</v>
      </c>
      <c r="BN43" s="321"/>
    </row>
    <row r="44" spans="1:66" s="180" customFormat="1" ht="17.100000000000001" customHeight="1">
      <c r="A44" s="179"/>
      <c r="B44" s="305"/>
      <c r="C44" s="196"/>
      <c r="D44" s="192" t="s">
        <v>152</v>
      </c>
      <c r="E44" s="365">
        <f t="shared" si="19"/>
        <v>0</v>
      </c>
      <c r="F44" s="365">
        <f t="shared" si="19"/>
        <v>0</v>
      </c>
      <c r="G44" s="365">
        <f t="shared" si="19"/>
        <v>0</v>
      </c>
      <c r="H44" s="365"/>
      <c r="I44" s="370">
        <f t="shared" si="1"/>
        <v>0</v>
      </c>
      <c r="J44" s="327">
        <f t="shared" si="4"/>
        <v>0</v>
      </c>
      <c r="K44" s="327">
        <v>0</v>
      </c>
      <c r="L44" s="327"/>
      <c r="M44" s="327"/>
      <c r="N44" s="328"/>
      <c r="O44" s="327">
        <f t="shared" si="14"/>
        <v>0</v>
      </c>
      <c r="P44" s="327">
        <v>0</v>
      </c>
      <c r="Q44" s="327"/>
      <c r="R44" s="327"/>
      <c r="S44" s="328"/>
      <c r="T44" s="327">
        <f t="shared" si="5"/>
        <v>0</v>
      </c>
      <c r="U44" s="193">
        <v>0</v>
      </c>
      <c r="V44" s="193"/>
      <c r="W44" s="193"/>
      <c r="X44" s="194"/>
      <c r="Y44" s="327">
        <f t="shared" si="15"/>
        <v>0</v>
      </c>
      <c r="Z44" s="327">
        <v>0</v>
      </c>
      <c r="AA44" s="327">
        <v>0</v>
      </c>
      <c r="AB44" s="327"/>
      <c r="AC44" s="328"/>
      <c r="AD44" s="327">
        <f t="shared" si="16"/>
        <v>0</v>
      </c>
      <c r="AE44" s="327">
        <v>0</v>
      </c>
      <c r="AF44" s="327"/>
      <c r="AG44" s="327"/>
      <c r="AH44" s="328"/>
      <c r="AI44" s="193">
        <v>0</v>
      </c>
      <c r="AJ44" s="193">
        <f t="shared" si="17"/>
        <v>0</v>
      </c>
      <c r="AK44" s="193"/>
      <c r="AL44" s="193"/>
      <c r="AM44" s="194"/>
      <c r="AN44" s="327">
        <f t="shared" si="9"/>
        <v>0</v>
      </c>
      <c r="AO44" s="327">
        <v>0</v>
      </c>
      <c r="AP44" s="327"/>
      <c r="AQ44" s="327"/>
      <c r="AR44" s="328"/>
      <c r="AS44" s="327">
        <f t="shared" si="10"/>
        <v>0</v>
      </c>
      <c r="AT44" s="327">
        <v>0</v>
      </c>
      <c r="AU44" s="327">
        <v>0</v>
      </c>
      <c r="AV44" s="327">
        <v>0</v>
      </c>
      <c r="AW44" s="328">
        <v>0</v>
      </c>
      <c r="AX44" s="327">
        <f t="shared" si="18"/>
        <v>0</v>
      </c>
      <c r="AY44" s="327">
        <v>0</v>
      </c>
      <c r="AZ44" s="327"/>
      <c r="BA44" s="327"/>
      <c r="BB44" s="328"/>
      <c r="BC44" s="328"/>
      <c r="BD44" s="182"/>
      <c r="BE44" s="182"/>
      <c r="BF44" s="182"/>
      <c r="BG44" s="182"/>
      <c r="BH44" s="182"/>
      <c r="BI44" s="182"/>
      <c r="BJ44" s="182"/>
      <c r="BK44" s="320"/>
      <c r="BL44" s="321"/>
      <c r="BM44" s="320">
        <v>0</v>
      </c>
      <c r="BN44" s="321"/>
    </row>
    <row r="45" spans="1:66" s="180" customFormat="1" ht="17.100000000000001" customHeight="1">
      <c r="A45" s="179"/>
      <c r="B45" s="305"/>
      <c r="C45" s="196"/>
      <c r="D45" s="192" t="s">
        <v>153</v>
      </c>
      <c r="E45" s="365">
        <f t="shared" si="19"/>
        <v>1.4593500000000001E-2</v>
      </c>
      <c r="F45" s="365">
        <f t="shared" si="19"/>
        <v>1.6241347074142501E-2</v>
      </c>
      <c r="G45" s="365">
        <f t="shared" si="19"/>
        <v>0</v>
      </c>
      <c r="H45" s="365"/>
      <c r="I45" s="370">
        <f t="shared" si="1"/>
        <v>0</v>
      </c>
      <c r="J45" s="327">
        <f t="shared" si="4"/>
        <v>2921833.1868016892</v>
      </c>
      <c r="K45" s="327">
        <v>2921833.1868016892</v>
      </c>
      <c r="L45" s="327"/>
      <c r="M45" s="327"/>
      <c r="N45" s="328"/>
      <c r="O45" s="327">
        <f t="shared" si="14"/>
        <v>1466972</v>
      </c>
      <c r="P45" s="327">
        <v>1466972</v>
      </c>
      <c r="Q45" s="327"/>
      <c r="R45" s="327"/>
      <c r="S45" s="328"/>
      <c r="T45" s="327">
        <f t="shared" si="5"/>
        <v>1789000</v>
      </c>
      <c r="U45" s="193">
        <v>1789000</v>
      </c>
      <c r="V45" s="193"/>
      <c r="W45" s="193"/>
      <c r="X45" s="194"/>
      <c r="Y45" s="327">
        <f t="shared" si="15"/>
        <v>1202007.0535199998</v>
      </c>
      <c r="Z45" s="342">
        <v>1202007.0535199998</v>
      </c>
      <c r="AA45" s="327">
        <v>0</v>
      </c>
      <c r="AB45" s="327"/>
      <c r="AC45" s="328"/>
      <c r="AD45" s="327">
        <f t="shared" si="16"/>
        <v>2827300</v>
      </c>
      <c r="AE45" s="327">
        <v>2827300</v>
      </c>
      <c r="AF45" s="327"/>
      <c r="AG45" s="327"/>
      <c r="AH45" s="328"/>
      <c r="AI45" s="193">
        <v>4658899</v>
      </c>
      <c r="AJ45" s="193">
        <f t="shared" si="17"/>
        <v>4658899</v>
      </c>
      <c r="AK45" s="193"/>
      <c r="AL45" s="193"/>
      <c r="AM45" s="194"/>
      <c r="AN45" s="327">
        <f t="shared" si="9"/>
        <v>2015904</v>
      </c>
      <c r="AO45" s="327">
        <v>2015904</v>
      </c>
      <c r="AP45" s="327"/>
      <c r="AQ45" s="327"/>
      <c r="AR45" s="328"/>
      <c r="AS45" s="327">
        <f t="shared" si="10"/>
        <v>3469178</v>
      </c>
      <c r="AT45" s="327">
        <v>3469178</v>
      </c>
      <c r="AU45" s="327">
        <v>0</v>
      </c>
      <c r="AV45" s="327">
        <v>0</v>
      </c>
      <c r="AW45" s="328">
        <v>0</v>
      </c>
      <c r="AX45" s="327">
        <f t="shared" si="18"/>
        <v>9607356162.3422089</v>
      </c>
      <c r="AY45" s="327">
        <v>9607356162.3422089</v>
      </c>
      <c r="AZ45" s="327"/>
      <c r="BA45" s="327"/>
      <c r="BB45" s="328"/>
      <c r="BC45" s="328"/>
      <c r="BD45" s="182"/>
      <c r="BE45" s="182"/>
      <c r="BF45" s="182"/>
      <c r="BG45" s="182"/>
      <c r="BH45" s="182"/>
      <c r="BI45" s="182"/>
      <c r="BJ45" s="182"/>
      <c r="BK45" s="320">
        <f t="shared" ref="BK45:BK71" si="20">BM45+BO45+BQ45</f>
        <v>1789000</v>
      </c>
      <c r="BL45" s="321"/>
      <c r="BM45" s="320">
        <v>1789000</v>
      </c>
      <c r="BN45" s="321"/>
    </row>
    <row r="46" spans="1:66" s="180" customFormat="1" ht="17.100000000000001" customHeight="1">
      <c r="A46" s="179"/>
      <c r="B46" s="305"/>
      <c r="C46" s="196"/>
      <c r="D46" s="192" t="s">
        <v>154</v>
      </c>
      <c r="E46" s="365">
        <f t="shared" si="19"/>
        <v>2.0058300000000005E-2</v>
      </c>
      <c r="F46" s="365">
        <f t="shared" si="19"/>
        <v>2.2323213212544799E-2</v>
      </c>
      <c r="G46" s="365">
        <f t="shared" si="19"/>
        <v>0</v>
      </c>
      <c r="H46" s="365"/>
      <c r="I46" s="370">
        <f t="shared" si="1"/>
        <v>0</v>
      </c>
      <c r="J46" s="327">
        <f t="shared" si="4"/>
        <v>4015966.4652635991</v>
      </c>
      <c r="K46" s="327">
        <v>4015966.4652635991</v>
      </c>
      <c r="L46" s="327"/>
      <c r="M46" s="327"/>
      <c r="N46" s="328"/>
      <c r="O46" s="327">
        <f t="shared" si="14"/>
        <v>2563896</v>
      </c>
      <c r="P46" s="327">
        <v>2563896</v>
      </c>
      <c r="Q46" s="327"/>
      <c r="R46" s="327"/>
      <c r="S46" s="328"/>
      <c r="T46" s="327">
        <f t="shared" si="5"/>
        <v>4079000</v>
      </c>
      <c r="U46" s="193">
        <v>4079000</v>
      </c>
      <c r="V46" s="193"/>
      <c r="W46" s="193"/>
      <c r="X46" s="194"/>
      <c r="Y46" s="327">
        <f t="shared" si="15"/>
        <v>1652120.333136</v>
      </c>
      <c r="Z46" s="327">
        <v>1652120.333136</v>
      </c>
      <c r="AA46" s="327">
        <v>0</v>
      </c>
      <c r="AB46" s="327"/>
      <c r="AC46" s="328"/>
      <c r="AD46" s="327">
        <f t="shared" si="16"/>
        <v>3324521</v>
      </c>
      <c r="AE46" s="327">
        <v>3324521</v>
      </c>
      <c r="AF46" s="327"/>
      <c r="AG46" s="327"/>
      <c r="AH46" s="328"/>
      <c r="AI46" s="193">
        <v>7328912</v>
      </c>
      <c r="AJ46" s="193">
        <f t="shared" si="17"/>
        <v>7328912</v>
      </c>
      <c r="AK46" s="193"/>
      <c r="AL46" s="193"/>
      <c r="AM46" s="194"/>
      <c r="AN46" s="327">
        <f t="shared" si="9"/>
        <v>2370430</v>
      </c>
      <c r="AO46" s="327">
        <v>2370430</v>
      </c>
      <c r="AP46" s="327"/>
      <c r="AQ46" s="327"/>
      <c r="AR46" s="328"/>
      <c r="AS46" s="327">
        <f t="shared" si="10"/>
        <v>3554658</v>
      </c>
      <c r="AT46" s="327">
        <v>3554658</v>
      </c>
      <c r="AU46" s="327">
        <v>0</v>
      </c>
      <c r="AV46" s="327">
        <v>0</v>
      </c>
      <c r="AW46" s="328">
        <v>0</v>
      </c>
      <c r="AX46" s="327">
        <f t="shared" si="18"/>
        <v>10316990424.333395</v>
      </c>
      <c r="AY46" s="327">
        <v>10316990424.333395</v>
      </c>
      <c r="AZ46" s="327"/>
      <c r="BA46" s="327"/>
      <c r="BB46" s="328"/>
      <c r="BC46" s="328"/>
      <c r="BD46" s="182"/>
      <c r="BE46" s="182"/>
      <c r="BF46" s="182"/>
      <c r="BG46" s="182"/>
      <c r="BH46" s="182"/>
      <c r="BI46" s="182"/>
      <c r="BJ46" s="182"/>
      <c r="BK46" s="320">
        <f t="shared" si="20"/>
        <v>4079000</v>
      </c>
      <c r="BL46" s="321"/>
      <c r="BM46" s="320">
        <v>4079000</v>
      </c>
      <c r="BN46" s="321"/>
    </row>
    <row r="47" spans="1:66" s="180" customFormat="1" ht="17.100000000000001" customHeight="1">
      <c r="A47" s="179"/>
      <c r="B47" s="305"/>
      <c r="C47" s="196"/>
      <c r="D47" s="192" t="s">
        <v>155</v>
      </c>
      <c r="E47" s="365">
        <f t="shared" si="19"/>
        <v>8.3214000000000014E-3</v>
      </c>
      <c r="F47" s="365">
        <f t="shared" si="19"/>
        <v>9.2610234380216816E-3</v>
      </c>
      <c r="G47" s="365">
        <f t="shared" si="19"/>
        <v>0</v>
      </c>
      <c r="H47" s="365"/>
      <c r="I47" s="370">
        <f t="shared" si="1"/>
        <v>0</v>
      </c>
      <c r="J47" s="327">
        <f t="shared" si="4"/>
        <v>1666066.5831124526</v>
      </c>
      <c r="K47" s="327">
        <v>1666066.5831124526</v>
      </c>
      <c r="L47" s="327"/>
      <c r="M47" s="327"/>
      <c r="N47" s="328"/>
      <c r="O47" s="327">
        <f t="shared" si="14"/>
        <v>796262</v>
      </c>
      <c r="P47" s="327">
        <v>796262</v>
      </c>
      <c r="Q47" s="327"/>
      <c r="R47" s="327"/>
      <c r="S47" s="328"/>
      <c r="T47" s="327">
        <f t="shared" si="5"/>
        <v>1476000</v>
      </c>
      <c r="U47" s="193">
        <v>1476000</v>
      </c>
      <c r="V47" s="193"/>
      <c r="W47" s="193"/>
      <c r="X47" s="194"/>
      <c r="Y47" s="327">
        <f t="shared" si="15"/>
        <v>685399.76668799995</v>
      </c>
      <c r="Z47" s="327">
        <v>685399.76668799995</v>
      </c>
      <c r="AA47" s="327">
        <v>0</v>
      </c>
      <c r="AB47" s="327"/>
      <c r="AC47" s="328"/>
      <c r="AD47" s="327">
        <f t="shared" si="16"/>
        <v>0</v>
      </c>
      <c r="AE47" s="327">
        <v>0</v>
      </c>
      <c r="AF47" s="327"/>
      <c r="AG47" s="327"/>
      <c r="AH47" s="328"/>
      <c r="AI47" s="193">
        <v>1280516</v>
      </c>
      <c r="AJ47" s="193">
        <f t="shared" si="17"/>
        <v>1280516</v>
      </c>
      <c r="AK47" s="193"/>
      <c r="AL47" s="193"/>
      <c r="AM47" s="194"/>
      <c r="AN47" s="327">
        <f t="shared" si="9"/>
        <v>0</v>
      </c>
      <c r="AO47" s="327">
        <v>0</v>
      </c>
      <c r="AP47" s="327"/>
      <c r="AQ47" s="327"/>
      <c r="AR47" s="328"/>
      <c r="AS47" s="327">
        <f t="shared" si="10"/>
        <v>1385270</v>
      </c>
      <c r="AT47" s="327">
        <v>1385270</v>
      </c>
      <c r="AU47" s="327">
        <v>0</v>
      </c>
      <c r="AV47" s="327">
        <v>0</v>
      </c>
      <c r="AW47" s="328">
        <v>0</v>
      </c>
      <c r="AX47" s="327">
        <f t="shared" si="18"/>
        <v>2797675000</v>
      </c>
      <c r="AY47" s="327">
        <v>2797675000</v>
      </c>
      <c r="AZ47" s="327"/>
      <c r="BA47" s="327"/>
      <c r="BB47" s="328"/>
      <c r="BC47" s="328"/>
      <c r="BD47" s="182"/>
      <c r="BE47" s="182"/>
      <c r="BF47" s="182"/>
      <c r="BG47" s="182"/>
      <c r="BH47" s="182"/>
      <c r="BI47" s="182"/>
      <c r="BJ47" s="182"/>
      <c r="BK47" s="320">
        <f t="shared" si="20"/>
        <v>1476000</v>
      </c>
      <c r="BL47" s="321"/>
      <c r="BM47" s="320">
        <v>1476000</v>
      </c>
      <c r="BN47" s="321"/>
    </row>
    <row r="48" spans="1:66" s="180" customFormat="1" ht="17.100000000000001" customHeight="1">
      <c r="A48" s="179"/>
      <c r="B48" s="305"/>
      <c r="C48" s="196"/>
      <c r="D48" s="192" t="s">
        <v>156</v>
      </c>
      <c r="E48" s="365">
        <f t="shared" si="19"/>
        <v>1.5214500000000002E-2</v>
      </c>
      <c r="F48" s="365">
        <f t="shared" si="19"/>
        <v>1.6932468226233673E-2</v>
      </c>
      <c r="G48" s="365">
        <f t="shared" si="19"/>
        <v>0</v>
      </c>
      <c r="H48" s="365"/>
      <c r="I48" s="370">
        <f t="shared" si="1"/>
        <v>0</v>
      </c>
      <c r="J48" s="327">
        <f t="shared" si="4"/>
        <v>3046166.5138996337</v>
      </c>
      <c r="K48" s="327">
        <v>3046166.5138996337</v>
      </c>
      <c r="L48" s="327"/>
      <c r="M48" s="327"/>
      <c r="N48" s="328"/>
      <c r="O48" s="327">
        <f t="shared" si="14"/>
        <v>1096925</v>
      </c>
      <c r="P48" s="327">
        <v>1096925</v>
      </c>
      <c r="Q48" s="327"/>
      <c r="R48" s="327"/>
      <c r="S48" s="328"/>
      <c r="T48" s="327">
        <f t="shared" si="5"/>
        <v>1728000</v>
      </c>
      <c r="U48" s="193">
        <v>1728000</v>
      </c>
      <c r="V48" s="193"/>
      <c r="W48" s="193"/>
      <c r="X48" s="194"/>
      <c r="Y48" s="327">
        <f t="shared" si="15"/>
        <v>1253156.28984</v>
      </c>
      <c r="Z48" s="327">
        <v>1253156.28984</v>
      </c>
      <c r="AA48" s="327">
        <v>0</v>
      </c>
      <c r="AB48" s="327"/>
      <c r="AC48" s="328"/>
      <c r="AD48" s="327">
        <f t="shared" si="16"/>
        <v>2725569</v>
      </c>
      <c r="AE48" s="327">
        <v>2725569</v>
      </c>
      <c r="AF48" s="327"/>
      <c r="AG48" s="327"/>
      <c r="AH48" s="328"/>
      <c r="AI48" s="193">
        <v>6021150</v>
      </c>
      <c r="AJ48" s="193">
        <f t="shared" si="17"/>
        <v>6021150</v>
      </c>
      <c r="AK48" s="193"/>
      <c r="AL48" s="193"/>
      <c r="AM48" s="194"/>
      <c r="AN48" s="327">
        <f t="shared" si="9"/>
        <v>1943369</v>
      </c>
      <c r="AO48" s="327">
        <v>1943369</v>
      </c>
      <c r="AP48" s="327"/>
      <c r="AQ48" s="327"/>
      <c r="AR48" s="328"/>
      <c r="AS48" s="327">
        <f t="shared" si="10"/>
        <v>1038983</v>
      </c>
      <c r="AT48" s="327">
        <v>1038983</v>
      </c>
      <c r="AU48" s="327">
        <v>0</v>
      </c>
      <c r="AV48" s="327">
        <v>0</v>
      </c>
      <c r="AW48" s="328">
        <v>0</v>
      </c>
      <c r="AX48" s="327">
        <f t="shared" si="18"/>
        <v>5895423099.6190825</v>
      </c>
      <c r="AY48" s="327">
        <v>5895423099.6190825</v>
      </c>
      <c r="AZ48" s="327"/>
      <c r="BA48" s="327"/>
      <c r="BB48" s="328"/>
      <c r="BC48" s="328"/>
      <c r="BD48" s="182"/>
      <c r="BE48" s="182"/>
      <c r="BF48" s="182"/>
      <c r="BG48" s="182"/>
      <c r="BH48" s="182"/>
      <c r="BI48" s="182"/>
      <c r="BJ48" s="182"/>
      <c r="BK48" s="320">
        <f t="shared" si="20"/>
        <v>1728000</v>
      </c>
      <c r="BL48" s="321"/>
      <c r="BM48" s="320">
        <v>1728000</v>
      </c>
      <c r="BN48" s="321"/>
    </row>
    <row r="49" spans="1:66" s="180" customFormat="1" ht="17.100000000000001" customHeight="1">
      <c r="A49" s="179"/>
      <c r="B49" s="305"/>
      <c r="C49" s="196"/>
      <c r="D49" s="192" t="s">
        <v>157</v>
      </c>
      <c r="E49" s="365">
        <f t="shared" si="19"/>
        <v>2.3101199999999999E-2</v>
      </c>
      <c r="F49" s="365">
        <f t="shared" si="19"/>
        <v>2.5709706857791531E-2</v>
      </c>
      <c r="G49" s="365">
        <f t="shared" si="19"/>
        <v>0</v>
      </c>
      <c r="H49" s="365"/>
      <c r="I49" s="370">
        <f t="shared" si="1"/>
        <v>0</v>
      </c>
      <c r="J49" s="327">
        <f t="shared" si="4"/>
        <v>4625199.7680435246</v>
      </c>
      <c r="K49" s="327">
        <v>4625199.7680435246</v>
      </c>
      <c r="L49" s="327"/>
      <c r="M49" s="327"/>
      <c r="N49" s="328"/>
      <c r="O49" s="327">
        <f t="shared" si="14"/>
        <v>2388785</v>
      </c>
      <c r="P49" s="327">
        <v>2388785</v>
      </c>
      <c r="Q49" s="327"/>
      <c r="R49" s="327"/>
      <c r="S49" s="328"/>
      <c r="T49" s="327">
        <f t="shared" si="5"/>
        <v>3777000</v>
      </c>
      <c r="U49" s="193">
        <v>3777000</v>
      </c>
      <c r="V49" s="193"/>
      <c r="W49" s="193"/>
      <c r="X49" s="194"/>
      <c r="Y49" s="327">
        <f t="shared" si="15"/>
        <v>1902751.5911039996</v>
      </c>
      <c r="Z49" s="327">
        <v>1902751.5911039996</v>
      </c>
      <c r="AA49" s="327">
        <v>0</v>
      </c>
      <c r="AB49" s="327"/>
      <c r="AC49" s="328"/>
      <c r="AD49" s="327">
        <f t="shared" si="16"/>
        <v>6796558</v>
      </c>
      <c r="AE49" s="327">
        <v>6796558</v>
      </c>
      <c r="AF49" s="327"/>
      <c r="AG49" s="327"/>
      <c r="AH49" s="328"/>
      <c r="AI49" s="193">
        <v>3214913</v>
      </c>
      <c r="AJ49" s="193">
        <f>AI49-AL49-AM49</f>
        <v>3214913</v>
      </c>
      <c r="AK49" s="193"/>
      <c r="AL49" s="193"/>
      <c r="AM49" s="194"/>
      <c r="AN49" s="327">
        <f t="shared" si="9"/>
        <v>4846041</v>
      </c>
      <c r="AO49" s="327">
        <v>4846041</v>
      </c>
      <c r="AP49" s="327"/>
      <c r="AQ49" s="327"/>
      <c r="AR49" s="328"/>
      <c r="AS49" s="327">
        <f t="shared" si="10"/>
        <v>4046323</v>
      </c>
      <c r="AT49" s="327">
        <v>4046323</v>
      </c>
      <c r="AU49" s="327">
        <v>0</v>
      </c>
      <c r="AV49" s="327">
        <v>0</v>
      </c>
      <c r="AW49" s="328">
        <v>0</v>
      </c>
      <c r="AX49" s="327">
        <f t="shared" si="18"/>
        <v>1678605000</v>
      </c>
      <c r="AY49" s="327">
        <v>1678605000</v>
      </c>
      <c r="AZ49" s="327"/>
      <c r="BA49" s="327"/>
      <c r="BB49" s="328"/>
      <c r="BC49" s="328"/>
      <c r="BD49" s="182"/>
      <c r="BE49" s="182"/>
      <c r="BF49" s="182"/>
      <c r="BG49" s="182"/>
      <c r="BH49" s="182"/>
      <c r="BI49" s="182"/>
      <c r="BJ49" s="182"/>
      <c r="BK49" s="320">
        <f t="shared" si="20"/>
        <v>3777000</v>
      </c>
      <c r="BL49" s="321"/>
      <c r="BM49" s="320">
        <v>3777000</v>
      </c>
      <c r="BN49" s="321"/>
    </row>
    <row r="50" spans="1:66" s="180" customFormat="1" ht="17.100000000000001" customHeight="1">
      <c r="A50" s="179"/>
      <c r="B50" s="305"/>
      <c r="C50" s="196"/>
      <c r="D50" s="197" t="s">
        <v>158</v>
      </c>
      <c r="E50" s="365">
        <f t="shared" si="19"/>
        <v>2.7696600000000005E-2</v>
      </c>
      <c r="F50" s="365">
        <f t="shared" si="19"/>
        <v>3.0824003383266192E-2</v>
      </c>
      <c r="G50" s="365">
        <f t="shared" si="19"/>
        <v>0</v>
      </c>
      <c r="H50" s="365"/>
      <c r="I50" s="370">
        <f t="shared" si="1"/>
        <v>0</v>
      </c>
      <c r="J50" s="327">
        <f t="shared" si="4"/>
        <v>5545266.3885683129</v>
      </c>
      <c r="K50" s="327">
        <v>5545266.3885683129</v>
      </c>
      <c r="L50" s="327"/>
      <c r="M50" s="327"/>
      <c r="N50" s="328"/>
      <c r="O50" s="327">
        <f t="shared" si="14"/>
        <v>6251149</v>
      </c>
      <c r="P50" s="327">
        <v>6251149</v>
      </c>
      <c r="Q50" s="327"/>
      <c r="R50" s="327"/>
      <c r="S50" s="328"/>
      <c r="T50" s="327">
        <f t="shared" si="5"/>
        <v>7167000</v>
      </c>
      <c r="U50" s="193">
        <v>7167000</v>
      </c>
      <c r="V50" s="193"/>
      <c r="W50" s="193"/>
      <c r="X50" s="194"/>
      <c r="Y50" s="327">
        <f t="shared" si="15"/>
        <v>2281255.9398719999</v>
      </c>
      <c r="Z50" s="327">
        <v>2281255.9398719999</v>
      </c>
      <c r="AA50" s="327">
        <v>0</v>
      </c>
      <c r="AB50" s="327"/>
      <c r="AC50" s="328"/>
      <c r="AD50" s="327">
        <f t="shared" si="16"/>
        <v>6893965</v>
      </c>
      <c r="AE50" s="327">
        <v>6893965</v>
      </c>
      <c r="AF50" s="327"/>
      <c r="AG50" s="327"/>
      <c r="AH50" s="328"/>
      <c r="AI50" s="193">
        <v>4985840</v>
      </c>
      <c r="AJ50" s="193">
        <f t="shared" si="17"/>
        <v>4985840</v>
      </c>
      <c r="AK50" s="193"/>
      <c r="AL50" s="193"/>
      <c r="AM50" s="194"/>
      <c r="AN50" s="327">
        <f t="shared" si="9"/>
        <v>4915494</v>
      </c>
      <c r="AO50" s="327">
        <v>4915494</v>
      </c>
      <c r="AP50" s="327"/>
      <c r="AQ50" s="327"/>
      <c r="AR50" s="328"/>
      <c r="AS50" s="327">
        <f t="shared" si="10"/>
        <v>9126900</v>
      </c>
      <c r="AT50" s="327">
        <v>9126900</v>
      </c>
      <c r="AU50" s="327">
        <v>0</v>
      </c>
      <c r="AV50" s="327">
        <v>0</v>
      </c>
      <c r="AW50" s="328">
        <v>0</v>
      </c>
      <c r="AX50" s="327">
        <f t="shared" si="18"/>
        <v>25710595184.449886</v>
      </c>
      <c r="AY50" s="327">
        <v>25710595184.449886</v>
      </c>
      <c r="AZ50" s="327"/>
      <c r="BA50" s="327"/>
      <c r="BB50" s="328"/>
      <c r="BC50" s="328"/>
      <c r="BD50" s="182"/>
      <c r="BE50" s="182"/>
      <c r="BF50" s="182"/>
      <c r="BG50" s="182"/>
      <c r="BH50" s="182"/>
      <c r="BI50" s="182"/>
      <c r="BJ50" s="182"/>
      <c r="BK50" s="320">
        <f t="shared" si="20"/>
        <v>7167000</v>
      </c>
      <c r="BL50" s="321"/>
      <c r="BM50" s="320">
        <v>7167000</v>
      </c>
      <c r="BN50" s="321"/>
    </row>
    <row r="51" spans="1:66" s="180" customFormat="1" ht="17.100000000000001" customHeight="1">
      <c r="A51" s="179"/>
      <c r="B51" s="305"/>
      <c r="C51" s="196"/>
      <c r="D51" s="192" t="s">
        <v>159</v>
      </c>
      <c r="E51" s="365">
        <f t="shared" si="19"/>
        <v>6.2721000000000001E-3</v>
      </c>
      <c r="F51" s="365">
        <f t="shared" si="19"/>
        <v>6.9803236361208184E-3</v>
      </c>
      <c r="G51" s="365">
        <f t="shared" si="19"/>
        <v>0</v>
      </c>
      <c r="H51" s="365"/>
      <c r="I51" s="370">
        <f t="shared" si="1"/>
        <v>0</v>
      </c>
      <c r="J51" s="327">
        <f t="shared" si="4"/>
        <v>1255766.6036892366</v>
      </c>
      <c r="K51" s="327">
        <v>1255766.6036892366</v>
      </c>
      <c r="L51" s="327"/>
      <c r="M51" s="327"/>
      <c r="N51" s="328"/>
      <c r="O51" s="327">
        <f t="shared" si="14"/>
        <v>2574469</v>
      </c>
      <c r="P51" s="327">
        <v>2574469</v>
      </c>
      <c r="Q51" s="327"/>
      <c r="R51" s="327"/>
      <c r="S51" s="328"/>
      <c r="T51" s="327">
        <f t="shared" si="5"/>
        <v>1579000</v>
      </c>
      <c r="U51" s="193">
        <v>1579000</v>
      </c>
      <c r="V51" s="193"/>
      <c r="W51" s="193"/>
      <c r="X51" s="194"/>
      <c r="Y51" s="327">
        <f t="shared" si="15"/>
        <v>516607.2868319999</v>
      </c>
      <c r="Z51" s="327">
        <v>516607.2868319999</v>
      </c>
      <c r="AA51" s="327">
        <v>0</v>
      </c>
      <c r="AB51" s="327"/>
      <c r="AC51" s="328"/>
      <c r="AD51" s="327">
        <f t="shared" si="16"/>
        <v>1226252</v>
      </c>
      <c r="AE51" s="327">
        <v>1226252</v>
      </c>
      <c r="AF51" s="327"/>
      <c r="AG51" s="327"/>
      <c r="AH51" s="328"/>
      <c r="AI51" s="193">
        <v>2724502</v>
      </c>
      <c r="AJ51" s="193">
        <f t="shared" si="17"/>
        <v>2724502</v>
      </c>
      <c r="AK51" s="193"/>
      <c r="AL51" s="193"/>
      <c r="AM51" s="194"/>
      <c r="AN51" s="327">
        <f t="shared" si="9"/>
        <v>874334</v>
      </c>
      <c r="AO51" s="327">
        <v>874334</v>
      </c>
      <c r="AP51" s="327"/>
      <c r="AQ51" s="327"/>
      <c r="AR51" s="328"/>
      <c r="AS51" s="327">
        <f t="shared" si="10"/>
        <v>4257903</v>
      </c>
      <c r="AT51" s="327">
        <v>4257903</v>
      </c>
      <c r="AU51" s="327">
        <v>0</v>
      </c>
      <c r="AV51" s="327">
        <v>0</v>
      </c>
      <c r="AW51" s="328">
        <v>0</v>
      </c>
      <c r="AX51" s="327">
        <f t="shared" si="18"/>
        <v>5404137841.3174925</v>
      </c>
      <c r="AY51" s="327">
        <v>5404137841.3174925</v>
      </c>
      <c r="AZ51" s="327"/>
      <c r="BA51" s="327"/>
      <c r="BB51" s="328"/>
      <c r="BC51" s="328"/>
      <c r="BD51" s="182"/>
      <c r="BE51" s="182"/>
      <c r="BF51" s="182"/>
      <c r="BG51" s="182"/>
      <c r="BH51" s="182"/>
      <c r="BI51" s="182"/>
      <c r="BJ51" s="182"/>
      <c r="BK51" s="320">
        <f t="shared" si="20"/>
        <v>1579000</v>
      </c>
      <c r="BL51" s="321"/>
      <c r="BM51" s="320">
        <v>1579000</v>
      </c>
      <c r="BN51" s="321"/>
    </row>
    <row r="52" spans="1:66" ht="17.100000000000001" customHeight="1">
      <c r="B52" s="305"/>
      <c r="C52" s="196"/>
      <c r="D52" s="192" t="s">
        <v>160</v>
      </c>
      <c r="E52" s="365">
        <f t="shared" si="19"/>
        <v>5.1543000000000005E-3</v>
      </c>
      <c r="F52" s="365">
        <f t="shared" si="19"/>
        <v>5.736305562356713E-3</v>
      </c>
      <c r="G52" s="365">
        <f t="shared" si="19"/>
        <v>0</v>
      </c>
      <c r="H52" s="365"/>
      <c r="I52" s="370">
        <f t="shared" si="1"/>
        <v>0</v>
      </c>
      <c r="J52" s="327">
        <f t="shared" si="4"/>
        <v>1031966.614912937</v>
      </c>
      <c r="K52" s="327">
        <v>1031966.614912937</v>
      </c>
      <c r="L52" s="327"/>
      <c r="M52" s="327"/>
      <c r="N52" s="328"/>
      <c r="O52" s="327">
        <f t="shared" si="14"/>
        <v>237887</v>
      </c>
      <c r="P52" s="327">
        <v>237887</v>
      </c>
      <c r="Q52" s="327"/>
      <c r="R52" s="327"/>
      <c r="S52" s="328"/>
      <c r="T52" s="327">
        <f t="shared" si="5"/>
        <v>689000</v>
      </c>
      <c r="U52" s="193">
        <v>689000</v>
      </c>
      <c r="V52" s="193"/>
      <c r="W52" s="193"/>
      <c r="X52" s="194"/>
      <c r="Y52" s="327">
        <f t="shared" si="15"/>
        <v>424538.66145599994</v>
      </c>
      <c r="Z52" s="327">
        <v>424538.66145599994</v>
      </c>
      <c r="AA52" s="327">
        <v>0</v>
      </c>
      <c r="AB52" s="327"/>
      <c r="AC52" s="328"/>
      <c r="AD52" s="327">
        <f t="shared" si="16"/>
        <v>199094</v>
      </c>
      <c r="AE52" s="327">
        <v>199094</v>
      </c>
      <c r="AF52" s="327"/>
      <c r="AG52" s="327"/>
      <c r="AH52" s="328"/>
      <c r="AI52" s="193">
        <v>2370317</v>
      </c>
      <c r="AJ52" s="193">
        <f t="shared" si="17"/>
        <v>2370317</v>
      </c>
      <c r="AK52" s="193"/>
      <c r="AL52" s="193"/>
      <c r="AM52" s="194"/>
      <c r="AN52" s="327">
        <f t="shared" si="9"/>
        <v>141956</v>
      </c>
      <c r="AO52" s="327">
        <v>141956</v>
      </c>
      <c r="AP52" s="327"/>
      <c r="AQ52" s="327"/>
      <c r="AR52" s="328"/>
      <c r="AS52" s="327">
        <f t="shared" si="10"/>
        <v>774054</v>
      </c>
      <c r="AT52" s="327">
        <v>774054</v>
      </c>
      <c r="AU52" s="327">
        <v>0</v>
      </c>
      <c r="AV52" s="327">
        <v>0</v>
      </c>
      <c r="AW52" s="328">
        <v>0</v>
      </c>
      <c r="AX52" s="327">
        <f t="shared" si="18"/>
        <v>1678605000</v>
      </c>
      <c r="AY52" s="327">
        <v>1678605000</v>
      </c>
      <c r="AZ52" s="327"/>
      <c r="BA52" s="327"/>
      <c r="BB52" s="328"/>
      <c r="BC52" s="328"/>
      <c r="BD52" s="182"/>
      <c r="BE52" s="182"/>
      <c r="BF52" s="182"/>
      <c r="BG52" s="182"/>
      <c r="BH52" s="182"/>
      <c r="BI52" s="182"/>
      <c r="BJ52" s="182"/>
      <c r="BK52" s="320">
        <f t="shared" si="20"/>
        <v>689000</v>
      </c>
      <c r="BL52" s="321"/>
      <c r="BM52" s="320">
        <v>689000</v>
      </c>
      <c r="BN52" s="321"/>
    </row>
    <row r="53" spans="1:66" ht="17.100000000000001" customHeight="1">
      <c r="B53" s="305"/>
      <c r="C53" s="196"/>
      <c r="D53" s="192" t="s">
        <v>161</v>
      </c>
      <c r="E53" s="365">
        <f t="shared" si="19"/>
        <v>6.1168500000000001E-2</v>
      </c>
      <c r="F53" s="365">
        <f t="shared" si="19"/>
        <v>6.807543348098026E-2</v>
      </c>
      <c r="G53" s="365">
        <f t="shared" si="19"/>
        <v>0</v>
      </c>
      <c r="H53" s="365"/>
      <c r="I53" s="370">
        <f t="shared" si="1"/>
        <v>0</v>
      </c>
      <c r="J53" s="327">
        <f t="shared" si="4"/>
        <v>12246832.719147505</v>
      </c>
      <c r="K53" s="327">
        <v>12246832.719147505</v>
      </c>
      <c r="L53" s="327"/>
      <c r="M53" s="327"/>
      <c r="N53" s="328"/>
      <c r="O53" s="327">
        <f t="shared" si="14"/>
        <v>4070516</v>
      </c>
      <c r="P53" s="327">
        <v>4070516</v>
      </c>
      <c r="Q53" s="327"/>
      <c r="R53" s="327"/>
      <c r="S53" s="328"/>
      <c r="T53" s="327">
        <f t="shared" si="5"/>
        <v>7531000</v>
      </c>
      <c r="U53" s="193">
        <v>7531000</v>
      </c>
      <c r="V53" s="193"/>
      <c r="W53" s="193"/>
      <c r="X53" s="194"/>
      <c r="Y53" s="327">
        <f t="shared" si="15"/>
        <v>5038199.7775199991</v>
      </c>
      <c r="Z53" s="327">
        <v>5038199.7775199991</v>
      </c>
      <c r="AA53" s="327">
        <v>0</v>
      </c>
      <c r="AB53" s="327"/>
      <c r="AC53" s="328"/>
      <c r="AD53" s="327">
        <f t="shared" si="16"/>
        <v>8507433</v>
      </c>
      <c r="AE53" s="327">
        <v>8507433</v>
      </c>
      <c r="AF53" s="327"/>
      <c r="AG53" s="327"/>
      <c r="AH53" s="328"/>
      <c r="AI53" s="193">
        <v>9862699</v>
      </c>
      <c r="AJ53" s="193">
        <f t="shared" si="17"/>
        <v>9862699</v>
      </c>
      <c r="AK53" s="193"/>
      <c r="AL53" s="193"/>
      <c r="AM53" s="194"/>
      <c r="AN53" s="327">
        <f t="shared" si="9"/>
        <v>6065919</v>
      </c>
      <c r="AO53" s="327">
        <v>6065919</v>
      </c>
      <c r="AP53" s="327"/>
      <c r="AQ53" s="327"/>
      <c r="AR53" s="328"/>
      <c r="AS53" s="327">
        <f t="shared" si="10"/>
        <v>5115255</v>
      </c>
      <c r="AT53" s="327">
        <v>5115255</v>
      </c>
      <c r="AU53" s="327">
        <v>0</v>
      </c>
      <c r="AV53" s="327">
        <v>0</v>
      </c>
      <c r="AW53" s="328">
        <v>0</v>
      </c>
      <c r="AX53" s="327">
        <f t="shared" si="18"/>
        <v>20197282841.287598</v>
      </c>
      <c r="AY53" s="327">
        <v>20197282841.287598</v>
      </c>
      <c r="AZ53" s="327"/>
      <c r="BA53" s="327"/>
      <c r="BB53" s="328"/>
      <c r="BC53" s="328"/>
      <c r="BD53" s="182"/>
      <c r="BE53" s="182"/>
      <c r="BF53" s="182"/>
      <c r="BG53" s="182"/>
      <c r="BH53" s="182"/>
      <c r="BI53" s="182"/>
      <c r="BJ53" s="182"/>
      <c r="BK53" s="320">
        <f t="shared" si="20"/>
        <v>7531000</v>
      </c>
      <c r="BL53" s="321"/>
      <c r="BM53" s="320">
        <v>7531000</v>
      </c>
      <c r="BN53" s="321"/>
    </row>
    <row r="54" spans="1:66" ht="17.100000000000001" customHeight="1">
      <c r="B54" s="305"/>
      <c r="C54" s="202"/>
      <c r="D54" s="197" t="s">
        <v>162</v>
      </c>
      <c r="E54" s="365">
        <f t="shared" si="19"/>
        <v>1.2420000000000002E-2</v>
      </c>
      <c r="F54" s="365">
        <f t="shared" si="19"/>
        <v>1.3822423041823404E-2</v>
      </c>
      <c r="G54" s="365">
        <f t="shared" si="19"/>
        <v>0</v>
      </c>
      <c r="H54" s="365"/>
      <c r="I54" s="370">
        <f t="shared" si="1"/>
        <v>0</v>
      </c>
      <c r="J54" s="327">
        <f t="shared" si="4"/>
        <v>2486666.5419588848</v>
      </c>
      <c r="K54" s="327">
        <v>2486666.5419588848</v>
      </c>
      <c r="L54" s="327"/>
      <c r="M54" s="327"/>
      <c r="N54" s="328"/>
      <c r="O54" s="327">
        <f t="shared" si="14"/>
        <v>1123357</v>
      </c>
      <c r="P54" s="327">
        <v>1123357</v>
      </c>
      <c r="Q54" s="327"/>
      <c r="R54" s="327"/>
      <c r="S54" s="328"/>
      <c r="T54" s="327">
        <f t="shared" si="5"/>
        <v>1393000</v>
      </c>
      <c r="U54" s="193">
        <v>1393000</v>
      </c>
      <c r="V54" s="193"/>
      <c r="W54" s="193"/>
      <c r="X54" s="194"/>
      <c r="Y54" s="327">
        <f t="shared" si="15"/>
        <v>1022984.7263999999</v>
      </c>
      <c r="Z54" s="327">
        <v>1022984.7263999999</v>
      </c>
      <c r="AA54" s="327">
        <v>0</v>
      </c>
      <c r="AB54" s="327"/>
      <c r="AC54" s="328"/>
      <c r="AD54" s="327">
        <f t="shared" si="16"/>
        <v>1565919</v>
      </c>
      <c r="AE54" s="327">
        <v>1565919</v>
      </c>
      <c r="AF54" s="327"/>
      <c r="AG54" s="327"/>
      <c r="AH54" s="328"/>
      <c r="AI54" s="193">
        <v>3460118</v>
      </c>
      <c r="AJ54" s="193">
        <f t="shared" si="17"/>
        <v>3460118</v>
      </c>
      <c r="AK54" s="193"/>
      <c r="AL54" s="193"/>
      <c r="AM54" s="194"/>
      <c r="AN54" s="327">
        <f t="shared" si="9"/>
        <v>1116522</v>
      </c>
      <c r="AO54" s="327">
        <v>1116522</v>
      </c>
      <c r="AP54" s="327"/>
      <c r="AQ54" s="327"/>
      <c r="AR54" s="328"/>
      <c r="AS54" s="327">
        <f t="shared" si="10"/>
        <v>1143015</v>
      </c>
      <c r="AT54" s="327">
        <v>1143015</v>
      </c>
      <c r="AU54" s="327">
        <v>0</v>
      </c>
      <c r="AV54" s="327">
        <v>0</v>
      </c>
      <c r="AW54" s="328">
        <v>0</v>
      </c>
      <c r="AX54" s="327">
        <f t="shared" si="18"/>
        <v>5840835848.6966829</v>
      </c>
      <c r="AY54" s="327">
        <v>5840835848.6966829</v>
      </c>
      <c r="AZ54" s="327"/>
      <c r="BA54" s="327"/>
      <c r="BB54" s="328"/>
      <c r="BC54" s="328"/>
      <c r="BD54" s="182"/>
      <c r="BE54" s="182"/>
      <c r="BF54" s="182"/>
      <c r="BG54" s="182"/>
      <c r="BH54" s="182"/>
      <c r="BI54" s="182"/>
      <c r="BJ54" s="182"/>
      <c r="BK54" s="320">
        <f t="shared" si="20"/>
        <v>1393000</v>
      </c>
      <c r="BL54" s="321"/>
      <c r="BM54" s="320">
        <v>1393000</v>
      </c>
      <c r="BN54" s="321"/>
    </row>
    <row r="55" spans="1:66" ht="17.100000000000001" customHeight="1">
      <c r="B55" s="305"/>
      <c r="C55" s="202"/>
      <c r="D55" s="197" t="s">
        <v>163</v>
      </c>
      <c r="E55" s="365">
        <f t="shared" si="19"/>
        <v>2.2293900000000002E-2</v>
      </c>
      <c r="F55" s="365">
        <f t="shared" si="19"/>
        <v>2.4811249360073014E-2</v>
      </c>
      <c r="G55" s="365">
        <f t="shared" si="19"/>
        <v>0</v>
      </c>
      <c r="H55" s="365"/>
      <c r="I55" s="370">
        <f t="shared" si="1"/>
        <v>0</v>
      </c>
      <c r="J55" s="327">
        <f t="shared" si="4"/>
        <v>4463566.4428161979</v>
      </c>
      <c r="K55" s="327">
        <v>4463566.4428161979</v>
      </c>
      <c r="L55" s="327"/>
      <c r="M55" s="327"/>
      <c r="N55" s="328"/>
      <c r="O55" s="327">
        <f t="shared" si="14"/>
        <v>2326009</v>
      </c>
      <c r="P55" s="327">
        <v>2326009</v>
      </c>
      <c r="Q55" s="327"/>
      <c r="R55" s="327"/>
      <c r="S55" s="328"/>
      <c r="T55" s="327">
        <f t="shared" si="5"/>
        <v>2553000</v>
      </c>
      <c r="U55" s="193">
        <v>2553000</v>
      </c>
      <c r="V55" s="193"/>
      <c r="W55" s="193"/>
      <c r="X55" s="194"/>
      <c r="Y55" s="327">
        <f t="shared" si="15"/>
        <v>1836257.5838879999</v>
      </c>
      <c r="Z55" s="327">
        <v>1836257.5838879999</v>
      </c>
      <c r="AA55" s="327">
        <v>0</v>
      </c>
      <c r="AB55" s="327"/>
      <c r="AC55" s="328"/>
      <c r="AD55" s="327">
        <f t="shared" si="16"/>
        <v>3849712</v>
      </c>
      <c r="AE55" s="327">
        <v>3849712</v>
      </c>
      <c r="AF55" s="327"/>
      <c r="AG55" s="327"/>
      <c r="AH55" s="328"/>
      <c r="AI55" s="193">
        <v>4386449</v>
      </c>
      <c r="AJ55" s="193">
        <f t="shared" si="17"/>
        <v>4386449</v>
      </c>
      <c r="AK55" s="193"/>
      <c r="AL55" s="193"/>
      <c r="AM55" s="194"/>
      <c r="AN55" s="327">
        <f t="shared" si="9"/>
        <v>2744898</v>
      </c>
      <c r="AO55" s="327">
        <v>2744898</v>
      </c>
      <c r="AP55" s="327"/>
      <c r="AQ55" s="327"/>
      <c r="AR55" s="328"/>
      <c r="AS55" s="327">
        <f t="shared" si="10"/>
        <v>3043957</v>
      </c>
      <c r="AT55" s="327">
        <v>3043957</v>
      </c>
      <c r="AU55" s="327">
        <v>0</v>
      </c>
      <c r="AV55" s="327">
        <v>0</v>
      </c>
      <c r="AW55" s="328">
        <v>0</v>
      </c>
      <c r="AX55" s="327">
        <f t="shared" si="18"/>
        <v>11954607952.005362</v>
      </c>
      <c r="AY55" s="327">
        <v>11954607952.005362</v>
      </c>
      <c r="AZ55" s="327"/>
      <c r="BA55" s="327"/>
      <c r="BB55" s="328"/>
      <c r="BC55" s="328"/>
      <c r="BD55" s="182"/>
      <c r="BE55" s="182"/>
      <c r="BF55" s="182"/>
      <c r="BG55" s="182"/>
      <c r="BH55" s="182"/>
      <c r="BI55" s="182"/>
      <c r="BJ55" s="182"/>
      <c r="BK55" s="320">
        <f t="shared" si="20"/>
        <v>2553000</v>
      </c>
      <c r="BL55" s="321"/>
      <c r="BM55" s="320">
        <v>2553000</v>
      </c>
      <c r="BN55" s="321"/>
    </row>
    <row r="56" spans="1:66" ht="17.100000000000001" customHeight="1">
      <c r="B56" s="305"/>
      <c r="C56" s="202"/>
      <c r="D56" s="197" t="s">
        <v>164</v>
      </c>
      <c r="E56" s="365">
        <f t="shared" si="19"/>
        <v>1.0557000000000002E-2</v>
      </c>
      <c r="F56" s="365">
        <f t="shared" si="19"/>
        <v>1.1749059585549894E-2</v>
      </c>
      <c r="G56" s="365">
        <f t="shared" si="19"/>
        <v>0</v>
      </c>
      <c r="H56" s="365"/>
      <c r="I56" s="370">
        <f t="shared" si="1"/>
        <v>0</v>
      </c>
      <c r="J56" s="327">
        <f t="shared" si="4"/>
        <v>2113666.5606650519</v>
      </c>
      <c r="K56" s="327">
        <v>2113666.5606650519</v>
      </c>
      <c r="L56" s="327"/>
      <c r="M56" s="327"/>
      <c r="N56" s="328"/>
      <c r="O56" s="327">
        <f t="shared" si="14"/>
        <v>2881079</v>
      </c>
      <c r="P56" s="327">
        <v>2881079</v>
      </c>
      <c r="Q56" s="327"/>
      <c r="R56" s="327"/>
      <c r="S56" s="328"/>
      <c r="T56" s="327">
        <f t="shared" si="5"/>
        <v>1825000</v>
      </c>
      <c r="U56" s="193">
        <v>1825000</v>
      </c>
      <c r="V56" s="193"/>
      <c r="W56" s="193"/>
      <c r="X56" s="194"/>
      <c r="Y56" s="327">
        <f t="shared" si="15"/>
        <v>869537.01743999997</v>
      </c>
      <c r="Z56" s="327">
        <v>869537.01743999997</v>
      </c>
      <c r="AA56" s="327">
        <v>0</v>
      </c>
      <c r="AB56" s="327"/>
      <c r="AC56" s="328"/>
      <c r="AD56" s="327">
        <f t="shared" si="16"/>
        <v>339033</v>
      </c>
      <c r="AE56" s="327">
        <v>339033</v>
      </c>
      <c r="AF56" s="327"/>
      <c r="AG56" s="327"/>
      <c r="AH56" s="328"/>
      <c r="AI56" s="193">
        <v>2506542</v>
      </c>
      <c r="AJ56" s="193">
        <f t="shared" si="17"/>
        <v>2506542</v>
      </c>
      <c r="AK56" s="193"/>
      <c r="AL56" s="193"/>
      <c r="AM56" s="194"/>
      <c r="AN56" s="327">
        <f t="shared" si="9"/>
        <v>241735</v>
      </c>
      <c r="AO56" s="327">
        <v>241735</v>
      </c>
      <c r="AP56" s="327"/>
      <c r="AQ56" s="327"/>
      <c r="AR56" s="328"/>
      <c r="AS56" s="327">
        <f t="shared" si="10"/>
        <v>10166247</v>
      </c>
      <c r="AT56" s="327">
        <v>10166247</v>
      </c>
      <c r="AU56" s="327">
        <v>0</v>
      </c>
      <c r="AV56" s="327">
        <v>0</v>
      </c>
      <c r="AW56" s="328">
        <v>0</v>
      </c>
      <c r="AX56" s="327">
        <f t="shared" si="18"/>
        <v>11408735442.78137</v>
      </c>
      <c r="AY56" s="327">
        <v>11408735442.78137</v>
      </c>
      <c r="AZ56" s="327"/>
      <c r="BA56" s="327"/>
      <c r="BB56" s="328"/>
      <c r="BC56" s="328"/>
      <c r="BD56" s="182"/>
      <c r="BE56" s="182"/>
      <c r="BF56" s="182"/>
      <c r="BG56" s="182"/>
      <c r="BH56" s="182"/>
      <c r="BI56" s="182"/>
      <c r="BJ56" s="182"/>
      <c r="BK56" s="320">
        <f t="shared" si="20"/>
        <v>1825000</v>
      </c>
      <c r="BL56" s="321"/>
      <c r="BM56" s="320">
        <v>1825000</v>
      </c>
      <c r="BN56" s="321"/>
    </row>
    <row r="57" spans="1:66" ht="17.100000000000001" customHeight="1">
      <c r="B57" s="305"/>
      <c r="C57" s="196"/>
      <c r="D57" s="197" t="s">
        <v>165</v>
      </c>
      <c r="E57" s="365">
        <f t="shared" si="19"/>
        <v>6.9551999999999999E-3</v>
      </c>
      <c r="F57" s="365">
        <f t="shared" si="19"/>
        <v>7.7405569034211062E-3</v>
      </c>
      <c r="G57" s="365">
        <f t="shared" si="19"/>
        <v>0</v>
      </c>
      <c r="H57" s="365"/>
      <c r="I57" s="370">
        <f t="shared" si="1"/>
        <v>0</v>
      </c>
      <c r="J57" s="327">
        <f t="shared" si="4"/>
        <v>1392533.2634969752</v>
      </c>
      <c r="K57" s="327">
        <v>1392533.2634969752</v>
      </c>
      <c r="L57" s="327"/>
      <c r="M57" s="327"/>
      <c r="N57" s="328"/>
      <c r="O57" s="327">
        <f t="shared" si="14"/>
        <v>1429967</v>
      </c>
      <c r="P57" s="327">
        <v>1429967</v>
      </c>
      <c r="Q57" s="327"/>
      <c r="R57" s="327"/>
      <c r="S57" s="328"/>
      <c r="T57" s="327">
        <f t="shared" si="5"/>
        <v>1361000</v>
      </c>
      <c r="U57" s="193">
        <v>1361000</v>
      </c>
      <c r="V57" s="193"/>
      <c r="W57" s="193"/>
      <c r="X57" s="194"/>
      <c r="Y57" s="327">
        <f t="shared" si="15"/>
        <v>572871.44678399991</v>
      </c>
      <c r="Z57" s="327">
        <v>572871.44678399991</v>
      </c>
      <c r="AA57" s="327">
        <v>0</v>
      </c>
      <c r="AB57" s="327"/>
      <c r="AC57" s="328"/>
      <c r="AD57" s="327">
        <f t="shared" si="16"/>
        <v>1801681</v>
      </c>
      <c r="AE57" s="327">
        <v>1801681</v>
      </c>
      <c r="AF57" s="327"/>
      <c r="AG57" s="327"/>
      <c r="AH57" s="328"/>
      <c r="AI57" s="193">
        <v>2615522</v>
      </c>
      <c r="AJ57" s="193">
        <f>AI57-AL57-AM57</f>
        <v>2615522</v>
      </c>
      <c r="AK57" s="193"/>
      <c r="AL57" s="193"/>
      <c r="AM57" s="194"/>
      <c r="AN57" s="327">
        <f t="shared" si="9"/>
        <v>1284623</v>
      </c>
      <c r="AO57" s="327">
        <v>1284623</v>
      </c>
      <c r="AP57" s="327"/>
      <c r="AQ57" s="327"/>
      <c r="AR57" s="328"/>
      <c r="AS57" s="327">
        <f t="shared" si="10"/>
        <v>1475237</v>
      </c>
      <c r="AT57" s="327">
        <v>1475237</v>
      </c>
      <c r="AU57" s="327">
        <v>0</v>
      </c>
      <c r="AV57" s="327">
        <v>0</v>
      </c>
      <c r="AW57" s="328">
        <v>0</v>
      </c>
      <c r="AX57" s="327">
        <f t="shared" si="18"/>
        <v>3766520313.645525</v>
      </c>
      <c r="AY57" s="327">
        <v>3766520313.645525</v>
      </c>
      <c r="AZ57" s="327"/>
      <c r="BA57" s="327"/>
      <c r="BB57" s="328"/>
      <c r="BC57" s="328"/>
      <c r="BD57" s="182"/>
      <c r="BE57" s="182"/>
      <c r="BF57" s="182"/>
      <c r="BG57" s="182"/>
      <c r="BH57" s="182"/>
      <c r="BI57" s="182"/>
      <c r="BJ57" s="182"/>
      <c r="BK57" s="320">
        <f t="shared" si="20"/>
        <v>1361000</v>
      </c>
      <c r="BL57" s="321"/>
      <c r="BM57" s="320">
        <v>1361000</v>
      </c>
      <c r="BN57" s="321"/>
    </row>
    <row r="58" spans="1:66" ht="17.100000000000001" customHeight="1">
      <c r="B58" s="305"/>
      <c r="C58" s="196"/>
      <c r="D58" s="197" t="s">
        <v>166</v>
      </c>
      <c r="E58" s="365">
        <f t="shared" si="19"/>
        <v>8.3214000000000014E-3</v>
      </c>
      <c r="F58" s="365">
        <f t="shared" si="19"/>
        <v>9.2610234380216816E-3</v>
      </c>
      <c r="G58" s="365">
        <f t="shared" si="19"/>
        <v>0</v>
      </c>
      <c r="H58" s="365"/>
      <c r="I58" s="370">
        <f t="shared" si="1"/>
        <v>0</v>
      </c>
      <c r="J58" s="327">
        <f t="shared" si="4"/>
        <v>1666066.5831124526</v>
      </c>
      <c r="K58" s="327">
        <v>1666066.5831124526</v>
      </c>
      <c r="L58" s="327"/>
      <c r="M58" s="327"/>
      <c r="N58" s="328"/>
      <c r="O58" s="327">
        <f t="shared" si="14"/>
        <v>1044061</v>
      </c>
      <c r="P58" s="327">
        <v>1044061</v>
      </c>
      <c r="Q58" s="327"/>
      <c r="R58" s="327"/>
      <c r="S58" s="328"/>
      <c r="T58" s="327">
        <f t="shared" si="5"/>
        <v>1257000</v>
      </c>
      <c r="U58" s="193">
        <v>1257000</v>
      </c>
      <c r="V58" s="193"/>
      <c r="W58" s="193"/>
      <c r="X58" s="194"/>
      <c r="Y58" s="327">
        <f t="shared" si="15"/>
        <v>685399.76668799995</v>
      </c>
      <c r="Z58" s="327">
        <v>685399.76668799995</v>
      </c>
      <c r="AA58" s="327">
        <v>0</v>
      </c>
      <c r="AB58" s="327"/>
      <c r="AC58" s="328"/>
      <c r="AD58" s="327">
        <f t="shared" si="16"/>
        <v>1619026</v>
      </c>
      <c r="AE58" s="327">
        <v>1619026</v>
      </c>
      <c r="AF58" s="327"/>
      <c r="AG58" s="327"/>
      <c r="AH58" s="328"/>
      <c r="AI58" s="193">
        <v>2016132</v>
      </c>
      <c r="AJ58" s="193">
        <f t="shared" si="17"/>
        <v>2016132</v>
      </c>
      <c r="AK58" s="193"/>
      <c r="AL58" s="193"/>
      <c r="AM58" s="194"/>
      <c r="AN58" s="327">
        <f t="shared" si="9"/>
        <v>1154388</v>
      </c>
      <c r="AO58" s="327">
        <v>1154388</v>
      </c>
      <c r="AP58" s="327"/>
      <c r="AQ58" s="327"/>
      <c r="AR58" s="328"/>
      <c r="AS58" s="327">
        <f t="shared" si="10"/>
        <v>954351</v>
      </c>
      <c r="AT58" s="327">
        <v>954351</v>
      </c>
      <c r="AU58" s="327">
        <v>0</v>
      </c>
      <c r="AV58" s="327">
        <v>0</v>
      </c>
      <c r="AW58" s="328">
        <v>0</v>
      </c>
      <c r="AX58" s="327">
        <f t="shared" si="18"/>
        <v>9716530664.187006</v>
      </c>
      <c r="AY58" s="327">
        <v>9716530664.187006</v>
      </c>
      <c r="AZ58" s="327"/>
      <c r="BA58" s="327"/>
      <c r="BB58" s="328"/>
      <c r="BC58" s="328"/>
      <c r="BD58" s="182"/>
      <c r="BE58" s="182"/>
      <c r="BF58" s="182"/>
      <c r="BG58" s="182"/>
      <c r="BH58" s="182"/>
      <c r="BI58" s="182"/>
      <c r="BJ58" s="182"/>
      <c r="BK58" s="320">
        <f t="shared" si="20"/>
        <v>1257000</v>
      </c>
      <c r="BL58" s="321"/>
      <c r="BM58" s="320">
        <v>1257000</v>
      </c>
      <c r="BN58" s="321"/>
    </row>
    <row r="59" spans="1:66" ht="17.100000000000001" customHeight="1">
      <c r="B59" s="305"/>
      <c r="C59" s="196"/>
      <c r="D59" s="192" t="s">
        <v>167</v>
      </c>
      <c r="E59" s="365">
        <f t="shared" si="19"/>
        <v>1.1053800000000001E-2</v>
      </c>
      <c r="F59" s="365">
        <f t="shared" si="19"/>
        <v>1.2301956507222829E-2</v>
      </c>
      <c r="G59" s="365">
        <f t="shared" si="19"/>
        <v>0</v>
      </c>
      <c r="H59" s="365"/>
      <c r="I59" s="370">
        <f t="shared" si="1"/>
        <v>0</v>
      </c>
      <c r="J59" s="327">
        <f t="shared" si="4"/>
        <v>2213133.2223434071</v>
      </c>
      <c r="K59" s="327">
        <v>2213133.2223434071</v>
      </c>
      <c r="L59" s="327"/>
      <c r="M59" s="327"/>
      <c r="N59" s="328"/>
      <c r="O59" s="327">
        <f t="shared" si="14"/>
        <v>2629976</v>
      </c>
      <c r="P59" s="327">
        <v>2629976</v>
      </c>
      <c r="Q59" s="327"/>
      <c r="R59" s="327"/>
      <c r="S59" s="328"/>
      <c r="T59" s="327">
        <f t="shared" si="5"/>
        <v>2725000</v>
      </c>
      <c r="U59" s="193">
        <v>2725000</v>
      </c>
      <c r="V59" s="193"/>
      <c r="W59" s="193"/>
      <c r="X59" s="194"/>
      <c r="Y59" s="327">
        <f t="shared" si="15"/>
        <v>910456.40649599989</v>
      </c>
      <c r="Z59" s="327">
        <v>910456.40649599989</v>
      </c>
      <c r="AA59" s="327">
        <v>0</v>
      </c>
      <c r="AB59" s="327"/>
      <c r="AC59" s="328"/>
      <c r="AD59" s="327">
        <f t="shared" si="16"/>
        <v>2878268</v>
      </c>
      <c r="AE59" s="327">
        <v>2878268</v>
      </c>
      <c r="AF59" s="327"/>
      <c r="AG59" s="327"/>
      <c r="AH59" s="328"/>
      <c r="AI59" s="193">
        <v>3514608</v>
      </c>
      <c r="AJ59" s="193">
        <f t="shared" si="17"/>
        <v>3514608</v>
      </c>
      <c r="AK59" s="193"/>
      <c r="AL59" s="193"/>
      <c r="AM59" s="194"/>
      <c r="AN59" s="327">
        <f t="shared" si="9"/>
        <v>2052245</v>
      </c>
      <c r="AO59" s="327">
        <v>2052245</v>
      </c>
      <c r="AP59" s="327"/>
      <c r="AQ59" s="327"/>
      <c r="AR59" s="328"/>
      <c r="AS59" s="327">
        <f t="shared" si="10"/>
        <v>1520463</v>
      </c>
      <c r="AT59" s="327">
        <v>1520463</v>
      </c>
      <c r="AU59" s="327">
        <v>0</v>
      </c>
      <c r="AV59" s="327">
        <v>0</v>
      </c>
      <c r="AW59" s="328">
        <v>0</v>
      </c>
      <c r="AX59" s="327">
        <f t="shared" si="18"/>
        <v>10876462712.151751</v>
      </c>
      <c r="AY59" s="327">
        <v>10876462712.151751</v>
      </c>
      <c r="AZ59" s="327"/>
      <c r="BA59" s="327"/>
      <c r="BB59" s="328"/>
      <c r="BC59" s="328"/>
      <c r="BD59" s="182"/>
      <c r="BE59" s="182"/>
      <c r="BF59" s="182"/>
      <c r="BG59" s="182"/>
      <c r="BH59" s="182"/>
      <c r="BI59" s="182"/>
      <c r="BJ59" s="182"/>
      <c r="BK59" s="320">
        <f t="shared" si="20"/>
        <v>2725000</v>
      </c>
      <c r="BL59" s="321"/>
      <c r="BM59" s="320">
        <v>2725000</v>
      </c>
      <c r="BN59" s="321"/>
    </row>
    <row r="60" spans="1:66" ht="17.100000000000001" customHeight="1">
      <c r="B60" s="305"/>
      <c r="C60" s="196"/>
      <c r="D60" s="197" t="s">
        <v>168</v>
      </c>
      <c r="E60" s="365">
        <f t="shared" si="19"/>
        <v>2.6082000000000004E-2</v>
      </c>
      <c r="F60" s="365">
        <f t="shared" si="19"/>
        <v>2.902708838782915E-2</v>
      </c>
      <c r="G60" s="365">
        <f t="shared" si="19"/>
        <v>0</v>
      </c>
      <c r="H60" s="365"/>
      <c r="I60" s="370">
        <f t="shared" si="1"/>
        <v>0</v>
      </c>
      <c r="J60" s="327">
        <f t="shared" si="4"/>
        <v>5221999.7381136576</v>
      </c>
      <c r="K60" s="327">
        <v>5221999.7381136576</v>
      </c>
      <c r="L60" s="327"/>
      <c r="M60" s="327"/>
      <c r="N60" s="328"/>
      <c r="O60" s="327">
        <f t="shared" si="14"/>
        <v>1017629</v>
      </c>
      <c r="P60" s="327">
        <v>1017629</v>
      </c>
      <c r="Q60" s="327"/>
      <c r="R60" s="327"/>
      <c r="S60" s="328"/>
      <c r="T60" s="327">
        <f t="shared" si="5"/>
        <v>2921000</v>
      </c>
      <c r="U60" s="193">
        <v>2921000</v>
      </c>
      <c r="V60" s="193"/>
      <c r="W60" s="193"/>
      <c r="X60" s="194"/>
      <c r="Y60" s="327">
        <f t="shared" si="15"/>
        <v>2148267.9254399999</v>
      </c>
      <c r="Z60" s="327">
        <v>2148267.9254399999</v>
      </c>
      <c r="AA60" s="327">
        <v>0</v>
      </c>
      <c r="AB60" s="327"/>
      <c r="AC60" s="328"/>
      <c r="AD60" s="327">
        <f t="shared" si="16"/>
        <v>4595977</v>
      </c>
      <c r="AE60" s="327">
        <v>4595977</v>
      </c>
      <c r="AF60" s="327"/>
      <c r="AG60" s="327"/>
      <c r="AH60" s="328"/>
      <c r="AI60" s="193">
        <v>5966660</v>
      </c>
      <c r="AJ60" s="193">
        <f t="shared" si="17"/>
        <v>5966660</v>
      </c>
      <c r="AK60" s="193"/>
      <c r="AL60" s="193"/>
      <c r="AM60" s="194"/>
      <c r="AN60" s="327">
        <f t="shared" si="9"/>
        <v>3276996</v>
      </c>
      <c r="AO60" s="327">
        <v>3276996</v>
      </c>
      <c r="AP60" s="327"/>
      <c r="AQ60" s="327"/>
      <c r="AR60" s="328"/>
      <c r="AS60" s="327">
        <f t="shared" si="10"/>
        <v>0</v>
      </c>
      <c r="AT60" s="327">
        <v>0</v>
      </c>
      <c r="AU60" s="327">
        <v>0</v>
      </c>
      <c r="AV60" s="327">
        <v>0</v>
      </c>
      <c r="AW60" s="328">
        <v>0</v>
      </c>
      <c r="AX60" s="327">
        <f t="shared" si="18"/>
        <v>0</v>
      </c>
      <c r="AY60" s="327">
        <v>0</v>
      </c>
      <c r="AZ60" s="327"/>
      <c r="BA60" s="327"/>
      <c r="BB60" s="328"/>
      <c r="BC60" s="328"/>
      <c r="BD60" s="182"/>
      <c r="BE60" s="182"/>
      <c r="BF60" s="182"/>
      <c r="BG60" s="182"/>
      <c r="BH60" s="182"/>
      <c r="BI60" s="182"/>
      <c r="BJ60" s="182"/>
      <c r="BK60" s="320">
        <f t="shared" si="20"/>
        <v>2921000</v>
      </c>
      <c r="BL60" s="321"/>
      <c r="BM60" s="320">
        <v>2921000</v>
      </c>
      <c r="BN60" s="321"/>
    </row>
    <row r="61" spans="1:66" ht="17.100000000000001" customHeight="1">
      <c r="B61" s="305"/>
      <c r="C61" s="196"/>
      <c r="D61" s="197" t="s">
        <v>169</v>
      </c>
      <c r="E61" s="365">
        <f t="shared" si="19"/>
        <v>5.0301E-3</v>
      </c>
      <c r="F61" s="365">
        <f t="shared" si="19"/>
        <v>5.598081331938478E-3</v>
      </c>
      <c r="G61" s="365">
        <f t="shared" si="19"/>
        <v>0</v>
      </c>
      <c r="H61" s="365"/>
      <c r="I61" s="370">
        <f t="shared" si="1"/>
        <v>0</v>
      </c>
      <c r="J61" s="327">
        <f t="shared" si="4"/>
        <v>1007099.9494933481</v>
      </c>
      <c r="K61" s="327">
        <v>1007099.9494933481</v>
      </c>
      <c r="L61" s="327"/>
      <c r="M61" s="327"/>
      <c r="N61" s="328"/>
      <c r="O61" s="327">
        <f t="shared" si="14"/>
        <v>3568308</v>
      </c>
      <c r="P61" s="327">
        <v>3568308</v>
      </c>
      <c r="Q61" s="327"/>
      <c r="R61" s="327"/>
      <c r="S61" s="328"/>
      <c r="T61" s="327">
        <f t="shared" si="5"/>
        <v>2690000</v>
      </c>
      <c r="U61" s="193">
        <v>2690000</v>
      </c>
      <c r="V61" s="193"/>
      <c r="W61" s="193"/>
      <c r="X61" s="194"/>
      <c r="Y61" s="327">
        <f t="shared" si="15"/>
        <v>414308.8141919999</v>
      </c>
      <c r="Z61" s="327">
        <v>414308.8141919999</v>
      </c>
      <c r="AA61" s="327">
        <v>0</v>
      </c>
      <c r="AB61" s="327"/>
      <c r="AC61" s="328"/>
      <c r="AD61" s="327">
        <f t="shared" si="16"/>
        <v>7858581</v>
      </c>
      <c r="AE61" s="327">
        <v>7858581</v>
      </c>
      <c r="AF61" s="327"/>
      <c r="AG61" s="327"/>
      <c r="AH61" s="328"/>
      <c r="AI61" s="193">
        <v>2479298</v>
      </c>
      <c r="AJ61" s="193">
        <f t="shared" si="17"/>
        <v>2479298</v>
      </c>
      <c r="AK61" s="193"/>
      <c r="AL61" s="193"/>
      <c r="AM61" s="194"/>
      <c r="AN61" s="327">
        <f t="shared" si="9"/>
        <v>5603290</v>
      </c>
      <c r="AO61" s="327">
        <v>5603290</v>
      </c>
      <c r="AP61" s="327"/>
      <c r="AQ61" s="327"/>
      <c r="AR61" s="328"/>
      <c r="AS61" s="327">
        <f t="shared" si="10"/>
        <v>1067985</v>
      </c>
      <c r="AT61" s="327">
        <v>1067985</v>
      </c>
      <c r="AU61" s="327">
        <v>0</v>
      </c>
      <c r="AV61" s="327">
        <v>0</v>
      </c>
      <c r="AW61" s="328">
        <v>0</v>
      </c>
      <c r="AX61" s="327">
        <f t="shared" si="18"/>
        <v>3015898579.3263068</v>
      </c>
      <c r="AY61" s="327">
        <v>3015898579.3263068</v>
      </c>
      <c r="AZ61" s="327"/>
      <c r="BA61" s="327"/>
      <c r="BB61" s="328"/>
      <c r="BC61" s="328"/>
      <c r="BD61" s="182"/>
      <c r="BE61" s="182"/>
      <c r="BF61" s="182"/>
      <c r="BG61" s="182"/>
      <c r="BH61" s="182"/>
      <c r="BI61" s="182"/>
      <c r="BJ61" s="182"/>
      <c r="BK61" s="320">
        <f t="shared" si="20"/>
        <v>2690000</v>
      </c>
      <c r="BL61" s="321"/>
      <c r="BM61" s="320">
        <v>2690000</v>
      </c>
      <c r="BN61" s="321"/>
    </row>
    <row r="62" spans="1:66" ht="17.100000000000001" customHeight="1">
      <c r="B62" s="305"/>
      <c r="C62" s="198"/>
      <c r="D62" s="199" t="s">
        <v>144</v>
      </c>
      <c r="E62" s="366">
        <f t="shared" si="19"/>
        <v>0.62099999999999989</v>
      </c>
      <c r="F62" s="366">
        <f t="shared" si="19"/>
        <v>0.69112115209117009</v>
      </c>
      <c r="G62" s="366">
        <f t="shared" si="19"/>
        <v>0</v>
      </c>
      <c r="H62" s="366"/>
      <c r="I62" s="371">
        <f t="shared" si="1"/>
        <v>0</v>
      </c>
      <c r="J62" s="335">
        <f>SUM(J39:J61)</f>
        <v>124333327.09794421</v>
      </c>
      <c r="K62" s="335">
        <v>124333327.09794421</v>
      </c>
      <c r="L62" s="335">
        <v>0</v>
      </c>
      <c r="M62" s="335">
        <v>0</v>
      </c>
      <c r="N62" s="336">
        <v>0</v>
      </c>
      <c r="O62" s="335">
        <f>SUM(O39:O61)</f>
        <v>81370666</v>
      </c>
      <c r="P62" s="335">
        <v>81370666</v>
      </c>
      <c r="Q62" s="335">
        <v>0</v>
      </c>
      <c r="R62" s="335">
        <v>0</v>
      </c>
      <c r="S62" s="336">
        <v>0</v>
      </c>
      <c r="T62" s="335">
        <f>SUM(T39:T61)</f>
        <v>88033000</v>
      </c>
      <c r="U62" s="200">
        <v>88033000</v>
      </c>
      <c r="V62" s="200">
        <f>SUM(V39:V61)</f>
        <v>0</v>
      </c>
      <c r="W62" s="200">
        <f>SUM(W39:W61)</f>
        <v>0</v>
      </c>
      <c r="X62" s="201">
        <f>SUM(X39:X61)</f>
        <v>0</v>
      </c>
      <c r="Y62" s="335">
        <f>SUM(Y39:Y61)</f>
        <v>51149236.319999985</v>
      </c>
      <c r="Z62" s="335">
        <v>51149236.319999985</v>
      </c>
      <c r="AA62" s="335">
        <v>0</v>
      </c>
      <c r="AB62" s="335">
        <v>0</v>
      </c>
      <c r="AC62" s="336">
        <v>0</v>
      </c>
      <c r="AD62" s="335">
        <f>SUM(AD39:AD61)</f>
        <v>116540240</v>
      </c>
      <c r="AE62" s="335">
        <v>116540240</v>
      </c>
      <c r="AF62" s="335">
        <v>0</v>
      </c>
      <c r="AG62" s="335">
        <v>0</v>
      </c>
      <c r="AH62" s="336">
        <v>0</v>
      </c>
      <c r="AI62" s="248">
        <f t="shared" ref="AI62:AS62" si="21">SUM(AI39:AI61)</f>
        <v>159328904</v>
      </c>
      <c r="AJ62" s="200">
        <f t="shared" si="21"/>
        <v>159328904</v>
      </c>
      <c r="AK62" s="200">
        <f t="shared" si="21"/>
        <v>0</v>
      </c>
      <c r="AL62" s="200">
        <f t="shared" si="21"/>
        <v>0</v>
      </c>
      <c r="AM62" s="201">
        <f t="shared" si="21"/>
        <v>0</v>
      </c>
      <c r="AN62" s="335">
        <f t="shared" si="21"/>
        <v>83094836</v>
      </c>
      <c r="AO62" s="335">
        <f t="shared" si="21"/>
        <v>83094836</v>
      </c>
      <c r="AP62" s="335">
        <f t="shared" si="21"/>
        <v>0</v>
      </c>
      <c r="AQ62" s="335">
        <f t="shared" si="21"/>
        <v>0</v>
      </c>
      <c r="AR62" s="336">
        <f t="shared" si="21"/>
        <v>0</v>
      </c>
      <c r="AS62" s="335">
        <f t="shared" si="21"/>
        <v>121249042</v>
      </c>
      <c r="AT62" s="335">
        <v>121249042</v>
      </c>
      <c r="AU62" s="335">
        <f>SUM(AU39:AU61)</f>
        <v>0</v>
      </c>
      <c r="AV62" s="335">
        <f>SUM(AV39:AV61)</f>
        <v>0</v>
      </c>
      <c r="AW62" s="336">
        <f>SUM(AW39:AW61)</f>
        <v>0</v>
      </c>
      <c r="AX62" s="335">
        <f>SUM(AX39:AX61)</f>
        <v>316715229851.75848</v>
      </c>
      <c r="AY62" s="335">
        <v>316715229851.75848</v>
      </c>
      <c r="AZ62" s="335">
        <v>0</v>
      </c>
      <c r="BA62" s="335">
        <v>0</v>
      </c>
      <c r="BB62" s="336">
        <v>0</v>
      </c>
      <c r="BC62" s="336"/>
      <c r="BD62" s="182"/>
      <c r="BE62" s="182"/>
      <c r="BF62" s="182"/>
      <c r="BG62" s="182"/>
      <c r="BH62" s="182"/>
      <c r="BI62" s="182"/>
      <c r="BJ62" s="182"/>
      <c r="BK62" s="320">
        <f>SUM(BK39:BL61)</f>
        <v>88033000</v>
      </c>
      <c r="BL62" s="321"/>
      <c r="BM62" s="320">
        <f>SUM(BM39:BN61)</f>
        <v>88033000</v>
      </c>
      <c r="BN62" s="321"/>
    </row>
    <row r="63" spans="1:66" ht="17.100000000000001" customHeight="1">
      <c r="B63" s="306"/>
      <c r="C63" s="203" t="s">
        <v>171</v>
      </c>
      <c r="D63" s="192" t="s">
        <v>172</v>
      </c>
      <c r="E63" s="365">
        <f t="shared" si="19"/>
        <v>1.8801509999999997E-2</v>
      </c>
      <c r="F63" s="365">
        <f t="shared" si="19"/>
        <v>2.0924510873194292E-2</v>
      </c>
      <c r="G63" s="365">
        <f t="shared" si="19"/>
        <v>0</v>
      </c>
      <c r="H63" s="365"/>
      <c r="I63" s="370">
        <f t="shared" si="1"/>
        <v>0</v>
      </c>
      <c r="J63" s="327">
        <f t="shared" si="4"/>
        <v>3764338.6356928642</v>
      </c>
      <c r="K63" s="327">
        <v>3764338.6356928642</v>
      </c>
      <c r="L63" s="327"/>
      <c r="M63" s="327"/>
      <c r="N63" s="328"/>
      <c r="O63" s="327">
        <f t="shared" ref="O63:O71" si="22">P63+Q63+R63+S63</f>
        <v>1339767</v>
      </c>
      <c r="P63" s="327">
        <v>1339767</v>
      </c>
      <c r="Q63" s="327"/>
      <c r="R63" s="327"/>
      <c r="S63" s="328"/>
      <c r="T63" s="327">
        <f t="shared" si="5"/>
        <v>2784000</v>
      </c>
      <c r="U63" s="193">
        <v>2784000</v>
      </c>
      <c r="V63" s="193"/>
      <c r="W63" s="193"/>
      <c r="X63" s="194"/>
      <c r="Y63" s="327">
        <f t="shared" ref="Y63:Y71" si="23">Z63+AA63+AB63+AC63</f>
        <v>1548603.6685391995</v>
      </c>
      <c r="Z63" s="342">
        <v>1548603.6685391995</v>
      </c>
      <c r="AA63" s="327">
        <v>0</v>
      </c>
      <c r="AB63" s="327"/>
      <c r="AC63" s="328"/>
      <c r="AD63" s="327">
        <f t="shared" ref="AD63:AD71" si="24">AE63+AF63+AG63+AH63</f>
        <v>4856360</v>
      </c>
      <c r="AE63" s="327">
        <v>4856360</v>
      </c>
      <c r="AF63" s="327"/>
      <c r="AG63" s="327"/>
      <c r="AH63" s="328"/>
      <c r="AI63" s="193">
        <v>2424807</v>
      </c>
      <c r="AJ63" s="193">
        <f t="shared" ref="AJ63:AJ71" si="25">AI63-AL63-AM63</f>
        <v>2424807</v>
      </c>
      <c r="AK63" s="193"/>
      <c r="AL63" s="193"/>
      <c r="AM63" s="194"/>
      <c r="AN63" s="327">
        <f t="shared" si="9"/>
        <v>3798291</v>
      </c>
      <c r="AO63" s="327">
        <v>3798291</v>
      </c>
      <c r="AP63" s="327"/>
      <c r="AQ63" s="327"/>
      <c r="AR63" s="328"/>
      <c r="AS63" s="327">
        <f t="shared" si="10"/>
        <v>1388293</v>
      </c>
      <c r="AT63" s="327">
        <v>1388293</v>
      </c>
      <c r="AU63" s="327">
        <v>0</v>
      </c>
      <c r="AV63" s="327">
        <v>0</v>
      </c>
      <c r="AW63" s="328">
        <v>0</v>
      </c>
      <c r="AX63" s="327">
        <f t="shared" ref="AX63:AX71" si="26">AY63+AZ63+BA63+BB63</f>
        <v>2748784471.9449301</v>
      </c>
      <c r="AY63" s="327">
        <v>2748784471.9449301</v>
      </c>
      <c r="AZ63" s="327"/>
      <c r="BA63" s="327"/>
      <c r="BB63" s="328"/>
      <c r="BC63" s="328"/>
      <c r="BD63" s="182"/>
      <c r="BE63" s="540" t="s">
        <v>173</v>
      </c>
      <c r="BF63" s="532" t="s">
        <v>174</v>
      </c>
      <c r="BG63" s="204" t="s">
        <v>175</v>
      </c>
      <c r="BH63" s="204">
        <f>총괄표!D12</f>
        <v>159685033</v>
      </c>
      <c r="BI63" s="205">
        <f>BH63/$BH$66</f>
        <v>0.89839999711044782</v>
      </c>
      <c r="BJ63" s="182"/>
      <c r="BK63" s="320">
        <f t="shared" si="20"/>
        <v>2784000</v>
      </c>
      <c r="BL63" s="321"/>
      <c r="BM63" s="320">
        <v>2784000</v>
      </c>
      <c r="BN63" s="321"/>
    </row>
    <row r="64" spans="1:66" ht="17.100000000000001" customHeight="1">
      <c r="B64" s="306"/>
      <c r="C64" s="206" t="s">
        <v>176</v>
      </c>
      <c r="D64" s="192" t="s">
        <v>177</v>
      </c>
      <c r="E64" s="365">
        <f t="shared" si="19"/>
        <v>1.2534339999999998E-2</v>
      </c>
      <c r="F64" s="365">
        <f t="shared" si="19"/>
        <v>1.3949673915462861E-2</v>
      </c>
      <c r="G64" s="365">
        <f t="shared" si="19"/>
        <v>0</v>
      </c>
      <c r="H64" s="365"/>
      <c r="I64" s="370">
        <f t="shared" si="1"/>
        <v>0</v>
      </c>
      <c r="J64" s="327">
        <f t="shared" si="4"/>
        <v>2509559.0904619093</v>
      </c>
      <c r="K64" s="327">
        <v>2509559.0904619093</v>
      </c>
      <c r="L64" s="327"/>
      <c r="M64" s="327"/>
      <c r="N64" s="328"/>
      <c r="O64" s="327">
        <f t="shared" si="22"/>
        <v>1339767</v>
      </c>
      <c r="P64" s="327">
        <v>1339767</v>
      </c>
      <c r="Q64" s="327"/>
      <c r="R64" s="327"/>
      <c r="S64" s="328"/>
      <c r="T64" s="327">
        <f t="shared" si="5"/>
        <v>2120000</v>
      </c>
      <c r="U64" s="193">
        <v>2120000</v>
      </c>
      <c r="V64" s="193"/>
      <c r="W64" s="193"/>
      <c r="X64" s="194"/>
      <c r="Y64" s="327">
        <f t="shared" si="23"/>
        <v>1032402.4456927996</v>
      </c>
      <c r="Z64" s="342">
        <v>1032402.4456927996</v>
      </c>
      <c r="AA64" s="327">
        <v>0</v>
      </c>
      <c r="AB64" s="327"/>
      <c r="AC64" s="328"/>
      <c r="AD64" s="327">
        <f t="shared" si="24"/>
        <v>4356016</v>
      </c>
      <c r="AE64" s="327">
        <v>4356016</v>
      </c>
      <c r="AF64" s="327"/>
      <c r="AG64" s="327"/>
      <c r="AH64" s="328"/>
      <c r="AI64" s="193">
        <v>2424807</v>
      </c>
      <c r="AJ64" s="193">
        <f t="shared" si="25"/>
        <v>2424807</v>
      </c>
      <c r="AK64" s="193"/>
      <c r="AL64" s="193"/>
      <c r="AM64" s="194"/>
      <c r="AN64" s="327">
        <f t="shared" si="9"/>
        <v>3406958</v>
      </c>
      <c r="AO64" s="327">
        <v>3406958</v>
      </c>
      <c r="AP64" s="327"/>
      <c r="AQ64" s="327"/>
      <c r="AR64" s="328"/>
      <c r="AS64" s="327">
        <f t="shared" si="10"/>
        <v>2179797</v>
      </c>
      <c r="AT64" s="327">
        <v>2179797</v>
      </c>
      <c r="AU64" s="327">
        <v>0</v>
      </c>
      <c r="AV64" s="327">
        <v>0</v>
      </c>
      <c r="AW64" s="328">
        <v>0</v>
      </c>
      <c r="AX64" s="327">
        <f t="shared" si="26"/>
        <v>3045274593.6682572</v>
      </c>
      <c r="AY64" s="327">
        <v>3045274593.6682572</v>
      </c>
      <c r="AZ64" s="327"/>
      <c r="BA64" s="327"/>
      <c r="BB64" s="328"/>
      <c r="BC64" s="328"/>
      <c r="BD64" s="182"/>
      <c r="BE64" s="541"/>
      <c r="BF64" s="532"/>
      <c r="BG64" s="204" t="s">
        <v>178</v>
      </c>
      <c r="BH64" s="204">
        <f>총괄표!D13</f>
        <v>11073439</v>
      </c>
      <c r="BI64" s="205">
        <f t="shared" ref="BI64:BI65" si="27">BH64/$BH$66</f>
        <v>6.2300000060761612E-2</v>
      </c>
      <c r="BJ64" s="182"/>
      <c r="BK64" s="320">
        <f t="shared" si="20"/>
        <v>2120000</v>
      </c>
      <c r="BL64" s="321"/>
      <c r="BM64" s="320">
        <v>2120000</v>
      </c>
      <c r="BN64" s="321"/>
    </row>
    <row r="65" spans="2:66" ht="17.100000000000001" customHeight="1">
      <c r="B65" s="306"/>
      <c r="C65" s="207"/>
      <c r="D65" s="192" t="s">
        <v>233</v>
      </c>
      <c r="E65" s="365">
        <f t="shared" si="19"/>
        <v>2.1310899999999997E-2</v>
      </c>
      <c r="F65" s="365">
        <f t="shared" si="19"/>
        <v>2.3717252431722572E-2</v>
      </c>
      <c r="G65" s="365">
        <f t="shared" si="19"/>
        <v>0</v>
      </c>
      <c r="H65" s="365"/>
      <c r="I65" s="370">
        <f t="shared" si="1"/>
        <v>0</v>
      </c>
      <c r="J65" s="327">
        <f t="shared" si="4"/>
        <v>4266755.3952521402</v>
      </c>
      <c r="K65" s="327">
        <v>4266755.3952521402</v>
      </c>
      <c r="L65" s="327"/>
      <c r="M65" s="327"/>
      <c r="N65" s="328"/>
      <c r="O65" s="327">
        <f t="shared" si="22"/>
        <v>1824020</v>
      </c>
      <c r="P65" s="327">
        <v>1824020</v>
      </c>
      <c r="Q65" s="327"/>
      <c r="R65" s="327"/>
      <c r="S65" s="328"/>
      <c r="T65" s="327">
        <f t="shared" si="5"/>
        <v>2218000</v>
      </c>
      <c r="U65" s="193">
        <v>2218000</v>
      </c>
      <c r="V65" s="193"/>
      <c r="W65" s="193"/>
      <c r="X65" s="194"/>
      <c r="Y65" s="327">
        <f t="shared" si="23"/>
        <v>1755291.8845279994</v>
      </c>
      <c r="Z65" s="342">
        <v>1755291.8845279994</v>
      </c>
      <c r="AA65" s="327">
        <v>0</v>
      </c>
      <c r="AB65" s="327"/>
      <c r="AC65" s="328"/>
      <c r="AD65" s="327">
        <f t="shared" si="24"/>
        <v>2928524</v>
      </c>
      <c r="AE65" s="327">
        <v>2928524</v>
      </c>
      <c r="AF65" s="327"/>
      <c r="AG65" s="327"/>
      <c r="AH65" s="328"/>
      <c r="AI65" s="193">
        <v>5775945</v>
      </c>
      <c r="AJ65" s="193">
        <f t="shared" si="25"/>
        <v>5775945</v>
      </c>
      <c r="AK65" s="193"/>
      <c r="AL65" s="193"/>
      <c r="AM65" s="194"/>
      <c r="AN65" s="327">
        <f t="shared" si="9"/>
        <v>2290478</v>
      </c>
      <c r="AO65" s="327">
        <v>2290478</v>
      </c>
      <c r="AP65" s="327"/>
      <c r="AQ65" s="327"/>
      <c r="AR65" s="328"/>
      <c r="AS65" s="327">
        <f t="shared" si="10"/>
        <v>8326598</v>
      </c>
      <c r="AT65" s="327">
        <v>8326598</v>
      </c>
      <c r="AU65" s="327">
        <v>0</v>
      </c>
      <c r="AV65" s="327">
        <v>0</v>
      </c>
      <c r="AW65" s="328">
        <v>0</v>
      </c>
      <c r="AX65" s="327">
        <f t="shared" si="26"/>
        <v>4125855901.0989289</v>
      </c>
      <c r="AY65" s="327">
        <v>4125855901.0989289</v>
      </c>
      <c r="AZ65" s="327"/>
      <c r="BA65" s="327"/>
      <c r="BB65" s="328"/>
      <c r="BC65" s="328"/>
      <c r="BD65" s="182"/>
      <c r="BE65" s="541"/>
      <c r="BF65" s="532"/>
      <c r="BG65" s="204" t="s">
        <v>179</v>
      </c>
      <c r="BH65" s="204">
        <f>총괄표!D14</f>
        <v>6985332</v>
      </c>
      <c r="BI65" s="205">
        <f t="shared" si="27"/>
        <v>3.9300002828790592E-2</v>
      </c>
      <c r="BJ65" s="182"/>
      <c r="BK65" s="320">
        <f t="shared" si="20"/>
        <v>2218000</v>
      </c>
      <c r="BL65" s="321"/>
      <c r="BM65" s="320">
        <v>2218000</v>
      </c>
      <c r="BN65" s="321"/>
    </row>
    <row r="66" spans="2:66" ht="17.100000000000001" customHeight="1">
      <c r="B66" s="306"/>
      <c r="C66" s="208"/>
      <c r="D66" s="197" t="s">
        <v>180</v>
      </c>
      <c r="E66" s="365">
        <f t="shared" si="19"/>
        <v>1.3795339999999996E-2</v>
      </c>
      <c r="F66" s="365">
        <f t="shared" si="19"/>
        <v>1.5353061633316267E-2</v>
      </c>
      <c r="G66" s="365">
        <f t="shared" si="19"/>
        <v>0</v>
      </c>
      <c r="H66" s="365"/>
      <c r="I66" s="370">
        <f t="shared" si="1"/>
        <v>0</v>
      </c>
      <c r="J66" s="327">
        <f t="shared" si="4"/>
        <v>2762029.8239087812</v>
      </c>
      <c r="K66" s="327">
        <v>2762029.8239087812</v>
      </c>
      <c r="L66" s="327"/>
      <c r="M66" s="327"/>
      <c r="N66" s="328"/>
      <c r="O66" s="327">
        <f t="shared" si="22"/>
        <v>1097640</v>
      </c>
      <c r="P66" s="327">
        <v>1097640</v>
      </c>
      <c r="Q66" s="327"/>
      <c r="R66" s="327"/>
      <c r="S66" s="328"/>
      <c r="T66" s="327">
        <f t="shared" si="5"/>
        <v>2161000</v>
      </c>
      <c r="U66" s="193">
        <v>2161000</v>
      </c>
      <c r="V66" s="193"/>
      <c r="W66" s="193"/>
      <c r="X66" s="194"/>
      <c r="Y66" s="327">
        <f t="shared" si="23"/>
        <v>1136265.8708127995</v>
      </c>
      <c r="Z66" s="342">
        <v>1136265.8708127995</v>
      </c>
      <c r="AA66" s="327">
        <v>0</v>
      </c>
      <c r="AB66" s="327"/>
      <c r="AC66" s="328"/>
      <c r="AD66" s="327">
        <f t="shared" si="24"/>
        <v>1800089</v>
      </c>
      <c r="AE66" s="327">
        <v>1800089</v>
      </c>
      <c r="AF66" s="327"/>
      <c r="AG66" s="327"/>
      <c r="AH66" s="328"/>
      <c r="AI66" s="193">
        <v>6375336</v>
      </c>
      <c r="AJ66" s="193">
        <f t="shared" si="25"/>
        <v>6375336</v>
      </c>
      <c r="AK66" s="193"/>
      <c r="AL66" s="193"/>
      <c r="AM66" s="194"/>
      <c r="AN66" s="327">
        <f t="shared" si="9"/>
        <v>1407898</v>
      </c>
      <c r="AO66" s="327">
        <v>1407898</v>
      </c>
      <c r="AP66" s="327"/>
      <c r="AQ66" s="327"/>
      <c r="AR66" s="328"/>
      <c r="AS66" s="327">
        <f t="shared" si="10"/>
        <v>1686593</v>
      </c>
      <c r="AT66" s="327">
        <v>1686593</v>
      </c>
      <c r="AU66" s="327">
        <v>0</v>
      </c>
      <c r="AV66" s="327">
        <v>0</v>
      </c>
      <c r="AW66" s="328">
        <v>0</v>
      </c>
      <c r="AX66" s="327">
        <f t="shared" si="26"/>
        <v>4224090565.4108076</v>
      </c>
      <c r="AY66" s="327">
        <v>4224090565.4108076</v>
      </c>
      <c r="AZ66" s="327"/>
      <c r="BA66" s="327"/>
      <c r="BB66" s="328"/>
      <c r="BC66" s="328"/>
      <c r="BD66" s="182"/>
      <c r="BE66" s="541"/>
      <c r="BF66" s="533"/>
      <c r="BG66" s="209" t="s">
        <v>181</v>
      </c>
      <c r="BH66" s="264">
        <f>SUM(BH63:BH65)</f>
        <v>177743804</v>
      </c>
      <c r="BI66" s="205"/>
      <c r="BJ66" s="182"/>
      <c r="BK66" s="320">
        <f t="shared" si="20"/>
        <v>2161000</v>
      </c>
      <c r="BL66" s="321"/>
      <c r="BM66" s="320">
        <v>2161000</v>
      </c>
      <c r="BN66" s="321"/>
    </row>
    <row r="67" spans="2:66" ht="17.100000000000001" customHeight="1">
      <c r="B67" s="306"/>
      <c r="C67" s="208"/>
      <c r="D67" s="192" t="s">
        <v>182</v>
      </c>
      <c r="E67" s="365">
        <f t="shared" si="19"/>
        <v>1.9545499999999997E-2</v>
      </c>
      <c r="F67" s="365">
        <f t="shared" si="19"/>
        <v>2.1752509626727801E-2</v>
      </c>
      <c r="G67" s="365">
        <f t="shared" si="19"/>
        <v>0</v>
      </c>
      <c r="H67" s="365"/>
      <c r="I67" s="370">
        <f t="shared" si="1"/>
        <v>0</v>
      </c>
      <c r="J67" s="327">
        <f t="shared" si="4"/>
        <v>3913296.368426519</v>
      </c>
      <c r="K67" s="327">
        <v>3913296.368426519</v>
      </c>
      <c r="L67" s="337"/>
      <c r="M67" s="337"/>
      <c r="N67" s="338"/>
      <c r="O67" s="327">
        <f t="shared" si="22"/>
        <v>2679534</v>
      </c>
      <c r="P67" s="327">
        <v>2679534</v>
      </c>
      <c r="Q67" s="337"/>
      <c r="R67" s="337"/>
      <c r="S67" s="338"/>
      <c r="T67" s="327">
        <f t="shared" si="5"/>
        <v>2116000</v>
      </c>
      <c r="U67" s="193">
        <v>2116000</v>
      </c>
      <c r="V67" s="210"/>
      <c r="W67" s="210"/>
      <c r="X67" s="211"/>
      <c r="Y67" s="327">
        <f t="shared" si="23"/>
        <v>1609883.0893599994</v>
      </c>
      <c r="Z67" s="342">
        <v>1609883.0893599994</v>
      </c>
      <c r="AA67" s="337">
        <v>0</v>
      </c>
      <c r="AB67" s="337"/>
      <c r="AC67" s="338"/>
      <c r="AD67" s="327">
        <f t="shared" si="24"/>
        <v>0</v>
      </c>
      <c r="AE67" s="327">
        <v>0</v>
      </c>
      <c r="AF67" s="337"/>
      <c r="AG67" s="337"/>
      <c r="AH67" s="338"/>
      <c r="AI67" s="193">
        <v>0</v>
      </c>
      <c r="AJ67" s="193">
        <f t="shared" si="25"/>
        <v>0</v>
      </c>
      <c r="AK67" s="210"/>
      <c r="AL67" s="210"/>
      <c r="AM67" s="211"/>
      <c r="AN67" s="327">
        <f t="shared" si="9"/>
        <v>0</v>
      </c>
      <c r="AO67" s="327">
        <v>0</v>
      </c>
      <c r="AP67" s="337"/>
      <c r="AQ67" s="337"/>
      <c r="AR67" s="338"/>
      <c r="AS67" s="327">
        <f t="shared" si="10"/>
        <v>2818000</v>
      </c>
      <c r="AT67" s="327">
        <v>2818000</v>
      </c>
      <c r="AU67" s="337">
        <v>0</v>
      </c>
      <c r="AV67" s="337">
        <v>0</v>
      </c>
      <c r="AW67" s="338">
        <v>0</v>
      </c>
      <c r="AX67" s="327">
        <f t="shared" si="26"/>
        <v>5157319876.373662</v>
      </c>
      <c r="AY67" s="327">
        <v>5157319876.373662</v>
      </c>
      <c r="AZ67" s="337"/>
      <c r="BA67" s="337"/>
      <c r="BB67" s="338"/>
      <c r="BC67" s="338"/>
      <c r="BD67" s="182"/>
      <c r="BE67" s="541"/>
      <c r="BF67" s="534" t="s">
        <v>183</v>
      </c>
      <c r="BG67" s="534"/>
      <c r="BH67" s="265">
        <f>총괄표!D22</f>
        <v>200418374</v>
      </c>
      <c r="BI67" s="205"/>
      <c r="BJ67" s="182"/>
      <c r="BK67" s="320">
        <f t="shared" si="20"/>
        <v>2116000</v>
      </c>
      <c r="BL67" s="321"/>
      <c r="BM67" s="320">
        <v>2116000</v>
      </c>
      <c r="BN67" s="321"/>
    </row>
    <row r="68" spans="2:66" ht="17.100000000000001" customHeight="1">
      <c r="B68" s="306"/>
      <c r="C68" s="207"/>
      <c r="D68" s="192" t="s">
        <v>184</v>
      </c>
      <c r="E68" s="365">
        <f t="shared" si="19"/>
        <v>1.1285949999999998E-2</v>
      </c>
      <c r="F68" s="365">
        <f t="shared" si="19"/>
        <v>1.2560320074787988E-2</v>
      </c>
      <c r="G68" s="365">
        <f t="shared" si="19"/>
        <v>0</v>
      </c>
      <c r="H68" s="365"/>
      <c r="I68" s="370">
        <f t="shared" si="1"/>
        <v>0</v>
      </c>
      <c r="J68" s="327">
        <f t="shared" si="4"/>
        <v>2259613.0643495061</v>
      </c>
      <c r="K68" s="327">
        <v>2259613.0643495061</v>
      </c>
      <c r="L68" s="327"/>
      <c r="M68" s="327"/>
      <c r="N68" s="328"/>
      <c r="O68" s="327">
        <f t="shared" si="22"/>
        <v>2921660</v>
      </c>
      <c r="P68" s="327">
        <v>2921660</v>
      </c>
      <c r="Q68" s="327"/>
      <c r="R68" s="327"/>
      <c r="S68" s="328"/>
      <c r="T68" s="327">
        <f t="shared" si="5"/>
        <v>1964000</v>
      </c>
      <c r="U68" s="193">
        <v>1964000</v>
      </c>
      <c r="V68" s="193"/>
      <c r="W68" s="193"/>
      <c r="X68" s="194"/>
      <c r="Y68" s="327">
        <f t="shared" si="23"/>
        <v>929577.65482399962</v>
      </c>
      <c r="Z68" s="342">
        <v>929577.65482399962</v>
      </c>
      <c r="AA68" s="327">
        <v>0</v>
      </c>
      <c r="AB68" s="327"/>
      <c r="AC68" s="328"/>
      <c r="AD68" s="327">
        <f t="shared" si="24"/>
        <v>788839</v>
      </c>
      <c r="AE68" s="327">
        <v>788839</v>
      </c>
      <c r="AF68" s="327"/>
      <c r="AG68" s="327"/>
      <c r="AH68" s="328"/>
      <c r="AI68" s="193">
        <v>4658899</v>
      </c>
      <c r="AJ68" s="193">
        <f t="shared" si="25"/>
        <v>4658899</v>
      </c>
      <c r="AK68" s="193"/>
      <c r="AL68" s="193"/>
      <c r="AM68" s="194"/>
      <c r="AN68" s="327">
        <f t="shared" si="9"/>
        <v>616972</v>
      </c>
      <c r="AO68" s="327">
        <v>616972</v>
      </c>
      <c r="AP68" s="327"/>
      <c r="AQ68" s="327"/>
      <c r="AR68" s="328"/>
      <c r="AS68" s="327">
        <f t="shared" si="10"/>
        <v>3680962</v>
      </c>
      <c r="AT68" s="327">
        <v>3680962</v>
      </c>
      <c r="AU68" s="327">
        <v>0</v>
      </c>
      <c r="AV68" s="327">
        <v>0</v>
      </c>
      <c r="AW68" s="328">
        <v>0</v>
      </c>
      <c r="AX68" s="327">
        <f t="shared" si="26"/>
        <v>7711421148.4825211</v>
      </c>
      <c r="AY68" s="327">
        <v>7711421148.4825211</v>
      </c>
      <c r="AZ68" s="327"/>
      <c r="BA68" s="327"/>
      <c r="BB68" s="328"/>
      <c r="BC68" s="328"/>
      <c r="BD68" s="182"/>
      <c r="BE68" s="541"/>
      <c r="BF68" s="533" t="s">
        <v>185</v>
      </c>
      <c r="BG68" s="535"/>
      <c r="BH68" s="204">
        <f>총괄표!D23</f>
        <v>169137067</v>
      </c>
      <c r="BI68" s="205"/>
      <c r="BJ68" s="182"/>
      <c r="BK68" s="320">
        <f t="shared" si="20"/>
        <v>1964000</v>
      </c>
      <c r="BL68" s="321"/>
      <c r="BM68" s="320">
        <v>1964000</v>
      </c>
      <c r="BN68" s="321"/>
    </row>
    <row r="69" spans="2:66" ht="17.100000000000001" customHeight="1">
      <c r="B69" s="306"/>
      <c r="C69" s="208"/>
      <c r="D69" s="192" t="s">
        <v>186</v>
      </c>
      <c r="E69" s="365">
        <f t="shared" si="19"/>
        <v>6.267169999999999E-3</v>
      </c>
      <c r="F69" s="365">
        <f t="shared" si="19"/>
        <v>6.9748369577314305E-3</v>
      </c>
      <c r="G69" s="365">
        <f t="shared" si="19"/>
        <v>0</v>
      </c>
      <c r="H69" s="365"/>
      <c r="I69" s="370">
        <f t="shared" si="1"/>
        <v>0</v>
      </c>
      <c r="J69" s="327">
        <f t="shared" si="4"/>
        <v>1254779.5452309547</v>
      </c>
      <c r="K69" s="327">
        <v>1254779.5452309547</v>
      </c>
      <c r="L69" s="327"/>
      <c r="M69" s="327"/>
      <c r="N69" s="328"/>
      <c r="O69" s="327">
        <f t="shared" si="22"/>
        <v>613387</v>
      </c>
      <c r="P69" s="327">
        <v>613387</v>
      </c>
      <c r="Q69" s="327"/>
      <c r="R69" s="327"/>
      <c r="S69" s="328"/>
      <c r="T69" s="327">
        <f t="shared" si="5"/>
        <v>475000</v>
      </c>
      <c r="U69" s="193">
        <v>475000</v>
      </c>
      <c r="V69" s="193"/>
      <c r="W69" s="193"/>
      <c r="X69" s="194"/>
      <c r="Y69" s="327">
        <f t="shared" si="23"/>
        <v>516201.22284639982</v>
      </c>
      <c r="Z69" s="342">
        <v>516201.22284639982</v>
      </c>
      <c r="AA69" s="327">
        <v>0</v>
      </c>
      <c r="AB69" s="327"/>
      <c r="AC69" s="328"/>
      <c r="AD69" s="327">
        <f t="shared" si="24"/>
        <v>942138</v>
      </c>
      <c r="AE69" s="327">
        <v>942138</v>
      </c>
      <c r="AF69" s="327"/>
      <c r="AG69" s="327"/>
      <c r="AH69" s="328"/>
      <c r="AI69" s="193">
        <v>2506542</v>
      </c>
      <c r="AJ69" s="193">
        <f t="shared" si="25"/>
        <v>2506542</v>
      </c>
      <c r="AK69" s="193"/>
      <c r="AL69" s="193"/>
      <c r="AM69" s="194"/>
      <c r="AN69" s="327">
        <f t="shared" si="9"/>
        <v>736871</v>
      </c>
      <c r="AO69" s="327">
        <v>736871</v>
      </c>
      <c r="AP69" s="327"/>
      <c r="AQ69" s="327"/>
      <c r="AR69" s="328"/>
      <c r="AS69" s="327">
        <f t="shared" si="10"/>
        <v>533000</v>
      </c>
      <c r="AT69" s="327">
        <v>533000</v>
      </c>
      <c r="AU69" s="327">
        <v>0</v>
      </c>
      <c r="AV69" s="327">
        <v>0</v>
      </c>
      <c r="AW69" s="328">
        <v>0</v>
      </c>
      <c r="AX69" s="327">
        <f t="shared" si="26"/>
        <v>1129698639.5866115</v>
      </c>
      <c r="AY69" s="327">
        <v>1129698639.5866115</v>
      </c>
      <c r="AZ69" s="327"/>
      <c r="BA69" s="327"/>
      <c r="BB69" s="328"/>
      <c r="BC69" s="328"/>
      <c r="BD69" s="182"/>
      <c r="BE69" s="542"/>
      <c r="BF69" s="533" t="s">
        <v>187</v>
      </c>
      <c r="BG69" s="535"/>
      <c r="BH69" s="204">
        <f>총괄표!D24</f>
        <v>6211909</v>
      </c>
      <c r="BI69" s="205"/>
      <c r="BJ69" s="182"/>
      <c r="BK69" s="320">
        <f t="shared" si="20"/>
        <v>475000</v>
      </c>
      <c r="BL69" s="321"/>
      <c r="BM69" s="320">
        <v>475000</v>
      </c>
      <c r="BN69" s="321"/>
    </row>
    <row r="70" spans="2:66" ht="17.100000000000001" customHeight="1">
      <c r="B70" s="306"/>
      <c r="C70" s="208"/>
      <c r="D70" s="192" t="s">
        <v>188</v>
      </c>
      <c r="E70" s="365">
        <f t="shared" si="19"/>
        <v>1.2483899999999998E-3</v>
      </c>
      <c r="F70" s="365">
        <f t="shared" si="19"/>
        <v>1.3893538406748727E-3</v>
      </c>
      <c r="G70" s="365">
        <f t="shared" si="19"/>
        <v>0</v>
      </c>
      <c r="H70" s="365"/>
      <c r="I70" s="370">
        <f t="shared" si="1"/>
        <v>0</v>
      </c>
      <c r="J70" s="327">
        <f t="shared" si="4"/>
        <v>249946.02611240346</v>
      </c>
      <c r="K70" s="327">
        <v>249946.02611240346</v>
      </c>
      <c r="L70" s="327"/>
      <c r="M70" s="327"/>
      <c r="N70" s="328"/>
      <c r="O70" s="327">
        <f t="shared" si="22"/>
        <v>258269</v>
      </c>
      <c r="P70" s="327">
        <v>258269</v>
      </c>
      <c r="Q70" s="327"/>
      <c r="R70" s="327"/>
      <c r="S70" s="328"/>
      <c r="T70" s="327">
        <f t="shared" si="5"/>
        <v>415000</v>
      </c>
      <c r="U70" s="193">
        <v>415000</v>
      </c>
      <c r="V70" s="193"/>
      <c r="W70" s="193"/>
      <c r="X70" s="194"/>
      <c r="Y70" s="327">
        <f t="shared" si="23"/>
        <v>102824.79086879997</v>
      </c>
      <c r="Z70" s="342">
        <v>102824.79086879997</v>
      </c>
      <c r="AA70" s="327">
        <v>0</v>
      </c>
      <c r="AB70" s="327"/>
      <c r="AC70" s="328"/>
      <c r="AD70" s="327">
        <f t="shared" si="24"/>
        <v>287994</v>
      </c>
      <c r="AE70" s="327">
        <v>287994</v>
      </c>
      <c r="AF70" s="327"/>
      <c r="AG70" s="327"/>
      <c r="AH70" s="328"/>
      <c r="AI70" s="193">
        <v>762862</v>
      </c>
      <c r="AJ70" s="193">
        <f t="shared" si="25"/>
        <v>762862</v>
      </c>
      <c r="AK70" s="193"/>
      <c r="AL70" s="193"/>
      <c r="AM70" s="194"/>
      <c r="AN70" s="327">
        <f t="shared" si="9"/>
        <v>225247</v>
      </c>
      <c r="AO70" s="327">
        <v>225247</v>
      </c>
      <c r="AP70" s="327"/>
      <c r="AQ70" s="327"/>
      <c r="AR70" s="328"/>
      <c r="AS70" s="327">
        <f t="shared" si="10"/>
        <v>165000</v>
      </c>
      <c r="AT70" s="327">
        <v>165000</v>
      </c>
      <c r="AU70" s="327">
        <v>0</v>
      </c>
      <c r="AV70" s="327">
        <v>0</v>
      </c>
      <c r="AW70" s="328">
        <v>0</v>
      </c>
      <c r="AX70" s="327">
        <f t="shared" si="26"/>
        <v>392938657.24751705</v>
      </c>
      <c r="AY70" s="327">
        <v>392938657.24751705</v>
      </c>
      <c r="AZ70" s="327"/>
      <c r="BA70" s="327"/>
      <c r="BB70" s="328"/>
      <c r="BC70" s="328"/>
      <c r="BD70" s="182"/>
      <c r="BE70" s="212">
        <f>총괄표!D25</f>
        <v>553511154</v>
      </c>
      <c r="BF70" s="533" t="s">
        <v>237</v>
      </c>
      <c r="BG70" s="535"/>
      <c r="BH70" s="204">
        <f>SUM(BH66:BH69)</f>
        <v>553511154</v>
      </c>
      <c r="BI70" s="205"/>
      <c r="BJ70" s="182"/>
      <c r="BK70" s="320">
        <f t="shared" si="20"/>
        <v>415000</v>
      </c>
      <c r="BL70" s="321"/>
      <c r="BM70" s="320">
        <v>415000</v>
      </c>
      <c r="BN70" s="321"/>
    </row>
    <row r="71" spans="2:66" ht="17.100000000000001" customHeight="1">
      <c r="B71" s="306"/>
      <c r="C71" s="208"/>
      <c r="D71" s="192" t="s">
        <v>189</v>
      </c>
      <c r="E71" s="365">
        <f t="shared" si="19"/>
        <v>2.1310899999999997E-2</v>
      </c>
      <c r="F71" s="365">
        <f t="shared" si="19"/>
        <v>2.3717252431722572E-2</v>
      </c>
      <c r="G71" s="365">
        <f t="shared" si="19"/>
        <v>0</v>
      </c>
      <c r="H71" s="365"/>
      <c r="I71" s="370">
        <f t="shared" si="1"/>
        <v>0</v>
      </c>
      <c r="J71" s="327">
        <f t="shared" si="4"/>
        <v>4266755.3952521402</v>
      </c>
      <c r="K71" s="327">
        <v>4266755.3952521402</v>
      </c>
      <c r="L71" s="327"/>
      <c r="M71" s="327"/>
      <c r="N71" s="328"/>
      <c r="O71" s="327">
        <f t="shared" si="22"/>
        <v>0</v>
      </c>
      <c r="P71" s="327">
        <v>0</v>
      </c>
      <c r="Q71" s="327"/>
      <c r="R71" s="327"/>
      <c r="S71" s="328"/>
      <c r="T71" s="327">
        <f t="shared" si="5"/>
        <v>1178000</v>
      </c>
      <c r="U71" s="193">
        <v>1178000</v>
      </c>
      <c r="V71" s="193"/>
      <c r="W71" s="193"/>
      <c r="X71" s="194"/>
      <c r="Y71" s="327">
        <f t="shared" si="23"/>
        <v>1755291.8845279994</v>
      </c>
      <c r="Z71" s="342">
        <v>1755291.8845279994</v>
      </c>
      <c r="AA71" s="327">
        <v>0</v>
      </c>
      <c r="AB71" s="327"/>
      <c r="AC71" s="328"/>
      <c r="AD71" s="327">
        <f t="shared" si="24"/>
        <v>1172803</v>
      </c>
      <c r="AE71" s="327">
        <v>1172803</v>
      </c>
      <c r="AF71" s="327"/>
      <c r="AG71" s="327"/>
      <c r="AH71" s="328"/>
      <c r="AI71" s="193">
        <v>0</v>
      </c>
      <c r="AJ71" s="193">
        <f t="shared" si="25"/>
        <v>0</v>
      </c>
      <c r="AK71" s="193"/>
      <c r="AL71" s="193"/>
      <c r="AM71" s="194"/>
      <c r="AN71" s="327">
        <f t="shared" si="9"/>
        <v>917285</v>
      </c>
      <c r="AO71" s="327">
        <v>917285</v>
      </c>
      <c r="AP71" s="327"/>
      <c r="AQ71" s="327"/>
      <c r="AR71" s="328"/>
      <c r="AS71" s="327">
        <f t="shared" si="10"/>
        <v>522658</v>
      </c>
      <c r="AT71" s="327">
        <v>522658</v>
      </c>
      <c r="AU71" s="327">
        <v>0</v>
      </c>
      <c r="AV71" s="327">
        <v>0</v>
      </c>
      <c r="AW71" s="328">
        <v>0</v>
      </c>
      <c r="AX71" s="327">
        <f t="shared" si="26"/>
        <v>6188783851.6483936</v>
      </c>
      <c r="AY71" s="327">
        <v>6188783851.6483936</v>
      </c>
      <c r="AZ71" s="327"/>
      <c r="BA71" s="327"/>
      <c r="BB71" s="328"/>
      <c r="BC71" s="328"/>
      <c r="BD71" s="182"/>
      <c r="BE71" s="182"/>
      <c r="BF71" s="182"/>
      <c r="BG71" s="182"/>
      <c r="BH71" s="258" t="s">
        <v>190</v>
      </c>
      <c r="BI71" s="182">
        <f>BE70-BH70</f>
        <v>0</v>
      </c>
      <c r="BJ71" s="182"/>
      <c r="BK71" s="320">
        <f t="shared" si="20"/>
        <v>1178000</v>
      </c>
      <c r="BL71" s="321"/>
      <c r="BM71" s="320">
        <v>1178000</v>
      </c>
      <c r="BN71" s="321"/>
    </row>
    <row r="72" spans="2:66" ht="17.100000000000001" customHeight="1">
      <c r="B72" s="305"/>
      <c r="C72" s="213"/>
      <c r="D72" s="199" t="s">
        <v>144</v>
      </c>
      <c r="E72" s="376">
        <f>SUM(E63:E71)</f>
        <v>0.12609999999999999</v>
      </c>
      <c r="F72" s="366">
        <f t="shared" si="19"/>
        <v>0.14033877178534065</v>
      </c>
      <c r="G72" s="366">
        <f t="shared" si="19"/>
        <v>0</v>
      </c>
      <c r="H72" s="366"/>
      <c r="I72" s="371">
        <f t="shared" si="1"/>
        <v>0</v>
      </c>
      <c r="J72" s="335">
        <f>SUM(J63:J71)</f>
        <v>25247073.344687216</v>
      </c>
      <c r="K72" s="335">
        <f>SUM(K63:K71)</f>
        <v>25247073.344687216</v>
      </c>
      <c r="L72" s="335">
        <v>0</v>
      </c>
      <c r="M72" s="335">
        <v>0</v>
      </c>
      <c r="N72" s="336">
        <v>0</v>
      </c>
      <c r="O72" s="335">
        <f>SUM(O63:O71)</f>
        <v>12074044</v>
      </c>
      <c r="P72" s="335">
        <v>12074044</v>
      </c>
      <c r="Q72" s="335">
        <v>0</v>
      </c>
      <c r="R72" s="335">
        <v>0</v>
      </c>
      <c r="S72" s="336">
        <v>0</v>
      </c>
      <c r="T72" s="335">
        <f>SUM(T63:T71)</f>
        <v>15431000</v>
      </c>
      <c r="U72" s="200">
        <v>15431000</v>
      </c>
      <c r="V72" s="200">
        <f>SUM(V63:V71)</f>
        <v>0</v>
      </c>
      <c r="W72" s="200">
        <f>SUM(W63:W71)</f>
        <v>0</v>
      </c>
      <c r="X72" s="201">
        <f>SUM(X63:X71)</f>
        <v>0</v>
      </c>
      <c r="Y72" s="335">
        <f>SUM(Y63:Y71)</f>
        <v>10386342.511999996</v>
      </c>
      <c r="Z72" s="335">
        <v>10386342.511999996</v>
      </c>
      <c r="AA72" s="335">
        <v>0</v>
      </c>
      <c r="AB72" s="335">
        <v>0</v>
      </c>
      <c r="AC72" s="336">
        <v>0</v>
      </c>
      <c r="AD72" s="335">
        <f>SUM(AD63:AD71)</f>
        <v>17132763</v>
      </c>
      <c r="AE72" s="335">
        <v>17132763</v>
      </c>
      <c r="AF72" s="335">
        <v>0</v>
      </c>
      <c r="AG72" s="335">
        <v>0</v>
      </c>
      <c r="AH72" s="336">
        <v>0</v>
      </c>
      <c r="AI72" s="200">
        <f t="shared" ref="AI72:AS72" si="28">SUM(AI63:AI71)</f>
        <v>24929198</v>
      </c>
      <c r="AJ72" s="200">
        <f t="shared" si="28"/>
        <v>24929198</v>
      </c>
      <c r="AK72" s="200">
        <f t="shared" si="28"/>
        <v>0</v>
      </c>
      <c r="AL72" s="200">
        <f t="shared" si="28"/>
        <v>0</v>
      </c>
      <c r="AM72" s="201">
        <f t="shared" si="28"/>
        <v>0</v>
      </c>
      <c r="AN72" s="335">
        <f t="shared" si="28"/>
        <v>13400000</v>
      </c>
      <c r="AO72" s="335">
        <f t="shared" si="28"/>
        <v>13400000</v>
      </c>
      <c r="AP72" s="335">
        <f t="shared" si="28"/>
        <v>0</v>
      </c>
      <c r="AQ72" s="335">
        <f t="shared" si="28"/>
        <v>0</v>
      </c>
      <c r="AR72" s="336">
        <f t="shared" si="28"/>
        <v>0</v>
      </c>
      <c r="AS72" s="335">
        <f t="shared" si="28"/>
        <v>21300901</v>
      </c>
      <c r="AT72" s="335">
        <v>21300901</v>
      </c>
      <c r="AU72" s="335">
        <f>SUM(AU63:AU71)</f>
        <v>0</v>
      </c>
      <c r="AV72" s="335">
        <f>SUM(AV63:AV71)</f>
        <v>0</v>
      </c>
      <c r="AW72" s="336">
        <f>SUM(AW63:AW71)</f>
        <v>0</v>
      </c>
      <c r="AX72" s="335">
        <f>SUM(AX63:AX71)</f>
        <v>34724167705.461632</v>
      </c>
      <c r="AY72" s="335">
        <v>34724167705.461632</v>
      </c>
      <c r="AZ72" s="335">
        <v>0</v>
      </c>
      <c r="BA72" s="335">
        <v>0</v>
      </c>
      <c r="BB72" s="336">
        <v>0</v>
      </c>
      <c r="BC72" s="336"/>
      <c r="BD72" s="182"/>
      <c r="BE72" s="182"/>
      <c r="BF72" s="182"/>
      <c r="BG72" s="182"/>
      <c r="BH72" s="182"/>
      <c r="BI72" s="182"/>
      <c r="BJ72" s="182"/>
      <c r="BK72" s="320">
        <f>SUM(BK63:BL71)</f>
        <v>15431000</v>
      </c>
      <c r="BL72" s="321"/>
      <c r="BM72" s="320">
        <f>SUM(BM63:BN71)</f>
        <v>15431000</v>
      </c>
      <c r="BN72" s="321"/>
    </row>
    <row r="73" spans="2:66" ht="17.100000000000001" customHeight="1" thickBot="1">
      <c r="B73" s="306"/>
      <c r="C73" s="214" t="s">
        <v>191</v>
      </c>
      <c r="D73" s="215"/>
      <c r="E73" s="365">
        <f t="shared" si="19"/>
        <v>3.8399999999999997E-2</v>
      </c>
      <c r="F73" s="365">
        <f t="shared" si="19"/>
        <v>0</v>
      </c>
      <c r="G73" s="365">
        <f t="shared" si="19"/>
        <v>0.91867206181027405</v>
      </c>
      <c r="H73" s="365"/>
      <c r="I73" s="370">
        <f t="shared" si="1"/>
        <v>0</v>
      </c>
      <c r="J73" s="327">
        <f t="shared" si="4"/>
        <v>7688244.3809356801</v>
      </c>
      <c r="K73" s="327">
        <v>0</v>
      </c>
      <c r="L73" s="327">
        <v>7688244.3809356801</v>
      </c>
      <c r="M73" s="327"/>
      <c r="N73" s="328">
        <v>0</v>
      </c>
      <c r="O73" s="327">
        <f>P73+Q73+R73+S73</f>
        <v>12913417</v>
      </c>
      <c r="P73" s="327">
        <v>0</v>
      </c>
      <c r="Q73" s="327"/>
      <c r="R73" s="327"/>
      <c r="S73" s="328">
        <v>12913417</v>
      </c>
      <c r="T73" s="327">
        <f t="shared" si="5"/>
        <v>5757000</v>
      </c>
      <c r="U73" s="193"/>
      <c r="V73" s="327">
        <v>5757000</v>
      </c>
      <c r="W73" s="327"/>
      <c r="X73" s="328">
        <v>0</v>
      </c>
      <c r="Y73" s="327">
        <f t="shared" ref="Y73:Y75" si="29">Z73+AA73+AB73+AC73</f>
        <v>3162851.3279999993</v>
      </c>
      <c r="Z73" s="327">
        <v>0</v>
      </c>
      <c r="AA73" s="327">
        <v>3162851.3279999993</v>
      </c>
      <c r="AB73" s="327"/>
      <c r="AC73" s="328">
        <v>0</v>
      </c>
      <c r="AD73" s="327">
        <f t="shared" ref="AD73:AD75" si="30">AE73+AF73+AG73+AH73</f>
        <v>10555171</v>
      </c>
      <c r="AE73" s="327"/>
      <c r="AF73" s="327">
        <v>10555171</v>
      </c>
      <c r="AG73" s="327"/>
      <c r="AH73" s="328"/>
      <c r="AI73" s="193">
        <v>14739558</v>
      </c>
      <c r="AJ73" s="193">
        <f>AI73-AL73-AM73</f>
        <v>0</v>
      </c>
      <c r="AK73" s="193"/>
      <c r="AL73" s="193"/>
      <c r="AM73" s="194">
        <f>AI73</f>
        <v>14739558</v>
      </c>
      <c r="AN73" s="327">
        <f t="shared" si="9"/>
        <v>7620000</v>
      </c>
      <c r="AO73" s="327"/>
      <c r="AP73" s="327">
        <v>7620000</v>
      </c>
      <c r="AQ73" s="327"/>
      <c r="AR73" s="328"/>
      <c r="AS73" s="327">
        <f t="shared" si="10"/>
        <v>9191402</v>
      </c>
      <c r="AT73" s="327">
        <v>0</v>
      </c>
      <c r="AU73" s="327">
        <v>9191402</v>
      </c>
      <c r="AV73" s="327">
        <v>0</v>
      </c>
      <c r="AW73" s="328">
        <v>0</v>
      </c>
      <c r="AX73" s="327">
        <f t="shared" ref="AX73:AX75" si="31">AY73+AZ73+BA73+BB73</f>
        <v>49505912432.229652</v>
      </c>
      <c r="AY73" s="327">
        <v>0</v>
      </c>
      <c r="AZ73" s="327"/>
      <c r="BA73" s="327"/>
      <c r="BB73" s="328">
        <v>49505912432.229652</v>
      </c>
      <c r="BC73" s="328"/>
      <c r="BD73" s="182"/>
      <c r="BE73" s="182"/>
      <c r="BF73" s="182"/>
      <c r="BG73" s="182"/>
      <c r="BH73" s="182"/>
      <c r="BI73" s="182"/>
      <c r="BJ73" s="317">
        <v>5757000</v>
      </c>
      <c r="BK73" s="318">
        <v>0</v>
      </c>
      <c r="BL73" s="321"/>
      <c r="BM73" s="320"/>
      <c r="BN73" s="321"/>
    </row>
    <row r="74" spans="2:66" ht="17.100000000000001" customHeight="1">
      <c r="B74" s="306"/>
      <c r="C74" s="214" t="s">
        <v>192</v>
      </c>
      <c r="D74" s="215"/>
      <c r="E74" s="365">
        <f t="shared" si="19"/>
        <v>1.2699999999999999E-2</v>
      </c>
      <c r="F74" s="365">
        <f t="shared" si="19"/>
        <v>0</v>
      </c>
      <c r="G74" s="365">
        <f t="shared" si="19"/>
        <v>0</v>
      </c>
      <c r="H74" s="365"/>
      <c r="I74" s="370">
        <f t="shared" si="1"/>
        <v>0.21287103508478616</v>
      </c>
      <c r="J74" s="327">
        <f t="shared" si="4"/>
        <v>2542726.6572365402</v>
      </c>
      <c r="K74" s="327">
        <v>0</v>
      </c>
      <c r="L74" s="327">
        <v>0</v>
      </c>
      <c r="M74" s="327"/>
      <c r="N74" s="328">
        <v>2542726.6572365402</v>
      </c>
      <c r="O74" s="327">
        <f>P74+Q74+R74+S74</f>
        <v>11299239</v>
      </c>
      <c r="P74" s="327">
        <v>0</v>
      </c>
      <c r="Q74" s="327"/>
      <c r="R74" s="327"/>
      <c r="S74" s="328">
        <v>11299239</v>
      </c>
      <c r="T74" s="327">
        <f t="shared" si="5"/>
        <v>2318000</v>
      </c>
      <c r="U74" s="193"/>
      <c r="V74" s="327"/>
      <c r="W74" s="327"/>
      <c r="X74" s="328">
        <v>2318000</v>
      </c>
      <c r="Y74" s="327">
        <f t="shared" si="29"/>
        <v>1046047.1839999998</v>
      </c>
      <c r="Z74" s="327">
        <v>0</v>
      </c>
      <c r="AA74" s="327">
        <v>0</v>
      </c>
      <c r="AB74" s="327"/>
      <c r="AC74" s="328">
        <v>1046047.1839999998</v>
      </c>
      <c r="AD74" s="327">
        <f t="shared" si="30"/>
        <v>9652964</v>
      </c>
      <c r="AE74" s="327"/>
      <c r="AF74" s="327"/>
      <c r="AG74" s="327"/>
      <c r="AH74" s="328">
        <v>9652964</v>
      </c>
      <c r="AI74" s="193">
        <v>11933321</v>
      </c>
      <c r="AJ74" s="193">
        <f>AI74-AL74-AM74</f>
        <v>0</v>
      </c>
      <c r="AK74" s="193"/>
      <c r="AL74" s="193"/>
      <c r="AM74" s="194">
        <f>AI74</f>
        <v>11933321</v>
      </c>
      <c r="AN74" s="327">
        <f t="shared" si="9"/>
        <v>6400000</v>
      </c>
      <c r="AO74" s="327"/>
      <c r="AP74" s="327"/>
      <c r="AQ74" s="327"/>
      <c r="AR74" s="328">
        <v>6400000</v>
      </c>
      <c r="AS74" s="327">
        <f t="shared" si="10"/>
        <v>4613658</v>
      </c>
      <c r="AT74" s="327">
        <v>0</v>
      </c>
      <c r="AU74" s="327">
        <v>0</v>
      </c>
      <c r="AV74" s="327">
        <v>0</v>
      </c>
      <c r="AW74" s="328">
        <v>4613658</v>
      </c>
      <c r="AX74" s="327">
        <f t="shared" si="31"/>
        <v>28301861918.707775</v>
      </c>
      <c r="AY74" s="327">
        <v>0</v>
      </c>
      <c r="AZ74" s="327"/>
      <c r="BA74" s="327"/>
      <c r="BB74" s="328">
        <v>28301861918.707775</v>
      </c>
      <c r="BC74" s="328"/>
      <c r="BD74" s="182"/>
      <c r="BE74" s="182"/>
      <c r="BF74" s="182"/>
      <c r="BG74" s="216" t="s">
        <v>193</v>
      </c>
      <c r="BH74" s="217">
        <f>+BH63/BE70</f>
        <v>0.28849469761543411</v>
      </c>
      <c r="BI74" s="182"/>
      <c r="BJ74" s="317"/>
      <c r="BK74" s="318">
        <v>2318000</v>
      </c>
      <c r="BL74" s="321"/>
      <c r="BM74" s="320"/>
      <c r="BN74" s="321"/>
    </row>
    <row r="75" spans="2:66" ht="17.100000000000001" customHeight="1">
      <c r="B75" s="305"/>
      <c r="C75" s="214" t="s">
        <v>194</v>
      </c>
      <c r="D75" s="215"/>
      <c r="E75" s="365">
        <f t="shared" si="19"/>
        <v>1.4800000000000002E-2</v>
      </c>
      <c r="F75" s="365">
        <f t="shared" si="19"/>
        <v>0</v>
      </c>
      <c r="G75" s="365">
        <f t="shared" si="19"/>
        <v>0</v>
      </c>
      <c r="H75" s="365"/>
      <c r="I75" s="370">
        <f t="shared" si="1"/>
        <v>0.24807018261849101</v>
      </c>
      <c r="J75" s="327">
        <f t="shared" si="4"/>
        <v>2963177.5218189606</v>
      </c>
      <c r="K75" s="327">
        <v>0</v>
      </c>
      <c r="L75" s="327">
        <v>0</v>
      </c>
      <c r="M75" s="327"/>
      <c r="N75" s="328">
        <v>2963177.5218189606</v>
      </c>
      <c r="O75" s="327">
        <f>P75+Q75+R75+S75</f>
        <v>10492151</v>
      </c>
      <c r="P75" s="327">
        <v>0</v>
      </c>
      <c r="Q75" s="327"/>
      <c r="R75" s="327"/>
      <c r="S75" s="328">
        <v>10492151</v>
      </c>
      <c r="T75" s="327">
        <f t="shared" si="5"/>
        <v>5843000</v>
      </c>
      <c r="U75" s="193"/>
      <c r="V75" s="193"/>
      <c r="W75" s="327"/>
      <c r="X75" s="328">
        <v>5843000</v>
      </c>
      <c r="Y75" s="327">
        <f t="shared" si="29"/>
        <v>1219015.6159999999</v>
      </c>
      <c r="Z75" s="327">
        <v>0</v>
      </c>
      <c r="AA75" s="327">
        <v>0</v>
      </c>
      <c r="AB75" s="327"/>
      <c r="AC75" s="328">
        <v>1219015.6159999999</v>
      </c>
      <c r="AD75" s="327">
        <f t="shared" si="30"/>
        <v>9259790</v>
      </c>
      <c r="AE75" s="327"/>
      <c r="AF75" s="327"/>
      <c r="AG75" s="327"/>
      <c r="AH75" s="328">
        <v>9259790</v>
      </c>
      <c r="AI75" s="193">
        <v>10271374</v>
      </c>
      <c r="AJ75" s="193">
        <f>AI75-AL75-AM75</f>
        <v>0</v>
      </c>
      <c r="AK75" s="193"/>
      <c r="AL75" s="193"/>
      <c r="AM75" s="194">
        <f>AI75</f>
        <v>10271374</v>
      </c>
      <c r="AN75" s="327">
        <f t="shared" si="9"/>
        <v>7680000</v>
      </c>
      <c r="AO75" s="327"/>
      <c r="AP75" s="327"/>
      <c r="AQ75" s="327"/>
      <c r="AR75" s="328">
        <v>7680000</v>
      </c>
      <c r="AS75" s="327">
        <f t="shared" si="10"/>
        <v>7407163</v>
      </c>
      <c r="AT75" s="327">
        <v>0</v>
      </c>
      <c r="AU75" s="327">
        <v>0</v>
      </c>
      <c r="AV75" s="327">
        <v>0</v>
      </c>
      <c r="AW75" s="328">
        <v>7407163</v>
      </c>
      <c r="AX75" s="327">
        <f t="shared" si="31"/>
        <v>29103247921.084591</v>
      </c>
      <c r="AY75" s="327">
        <v>0</v>
      </c>
      <c r="AZ75" s="327"/>
      <c r="BA75" s="327"/>
      <c r="BB75" s="328">
        <v>29103247921.084591</v>
      </c>
      <c r="BC75" s="328"/>
      <c r="BD75" s="182"/>
      <c r="BE75" s="182"/>
      <c r="BF75" s="182"/>
      <c r="BG75" s="218" t="s">
        <v>195</v>
      </c>
      <c r="BH75" s="219">
        <f>+BH66/BE70</f>
        <v>0.32112054601884321</v>
      </c>
      <c r="BI75" s="182"/>
      <c r="BJ75" s="317"/>
      <c r="BK75" s="318">
        <v>5843000</v>
      </c>
      <c r="BL75" s="321"/>
      <c r="BM75" s="320"/>
      <c r="BN75" s="321"/>
    </row>
    <row r="76" spans="2:66" ht="17.100000000000001" customHeight="1">
      <c r="B76" s="307"/>
      <c r="C76" s="504" t="s">
        <v>181</v>
      </c>
      <c r="D76" s="505"/>
      <c r="E76" s="339">
        <f>SUM(E73:E75)</f>
        <v>6.59E-2</v>
      </c>
      <c r="F76" s="367">
        <f t="shared" si="19"/>
        <v>0</v>
      </c>
      <c r="G76" s="367">
        <f t="shared" si="19"/>
        <v>0.91867206181027405</v>
      </c>
      <c r="H76" s="367"/>
      <c r="I76" s="367">
        <f t="shared" si="1"/>
        <v>0.46094121770327717</v>
      </c>
      <c r="J76" s="329">
        <f>SUM(J73:J75)</f>
        <v>13194148.559991181</v>
      </c>
      <c r="K76" s="329">
        <f>SUM(K73:K75)</f>
        <v>0</v>
      </c>
      <c r="L76" s="329">
        <f t="shared" ref="L76:N76" si="32">SUM(L73:L75)</f>
        <v>7688244.3809356801</v>
      </c>
      <c r="M76" s="329">
        <f t="shared" si="32"/>
        <v>0</v>
      </c>
      <c r="N76" s="329">
        <f t="shared" si="32"/>
        <v>5505904.1790555008</v>
      </c>
      <c r="O76" s="329">
        <f>SUM(O73:O75)</f>
        <v>34704807</v>
      </c>
      <c r="P76" s="329">
        <f>SUM(P73:P75)</f>
        <v>0</v>
      </c>
      <c r="Q76" s="329">
        <f t="shared" ref="Q76:AH76" si="33">SUM(Q73:Q75)</f>
        <v>0</v>
      </c>
      <c r="R76" s="329">
        <f t="shared" si="33"/>
        <v>0</v>
      </c>
      <c r="S76" s="329">
        <f t="shared" si="33"/>
        <v>34704807</v>
      </c>
      <c r="T76" s="329">
        <f t="shared" si="33"/>
        <v>13918000</v>
      </c>
      <c r="U76" s="329">
        <f t="shared" si="33"/>
        <v>0</v>
      </c>
      <c r="V76" s="329">
        <f t="shared" si="33"/>
        <v>5757000</v>
      </c>
      <c r="W76" s="329">
        <f t="shared" si="33"/>
        <v>0</v>
      </c>
      <c r="X76" s="330">
        <f t="shared" si="33"/>
        <v>8161000</v>
      </c>
      <c r="Y76" s="329">
        <f t="shared" si="33"/>
        <v>5427914.1279999986</v>
      </c>
      <c r="Z76" s="329">
        <f t="shared" si="33"/>
        <v>0</v>
      </c>
      <c r="AA76" s="329">
        <f t="shared" si="33"/>
        <v>3162851.3279999993</v>
      </c>
      <c r="AB76" s="329">
        <f t="shared" si="33"/>
        <v>0</v>
      </c>
      <c r="AC76" s="329">
        <f t="shared" si="33"/>
        <v>2265062.7999999998</v>
      </c>
      <c r="AD76" s="329">
        <f t="shared" si="33"/>
        <v>29467925</v>
      </c>
      <c r="AE76" s="329">
        <f t="shared" si="33"/>
        <v>0</v>
      </c>
      <c r="AF76" s="329">
        <f t="shared" si="33"/>
        <v>10555171</v>
      </c>
      <c r="AG76" s="329">
        <f t="shared" si="33"/>
        <v>0</v>
      </c>
      <c r="AH76" s="329">
        <f t="shared" si="33"/>
        <v>18912754</v>
      </c>
      <c r="AI76" s="301">
        <f>SUM(AI72,AI62,AI38)+SUM(AI73:AI75)</f>
        <v>245205222</v>
      </c>
      <c r="AJ76" s="301">
        <f t="shared" ref="AJ76:AM76" si="34">SUM(AJ72,AJ62,AJ38)+SUM(AJ73:AJ75)</f>
        <v>208260969</v>
      </c>
      <c r="AK76" s="301">
        <f t="shared" si="34"/>
        <v>0</v>
      </c>
      <c r="AL76" s="301">
        <f t="shared" si="34"/>
        <v>0</v>
      </c>
      <c r="AM76" s="302">
        <f t="shared" si="34"/>
        <v>36944253</v>
      </c>
      <c r="AN76" s="329">
        <f>SUM(AN73:AN75)</f>
        <v>21700000</v>
      </c>
      <c r="AO76" s="329">
        <f>SUM(AO73:AO75)</f>
        <v>0</v>
      </c>
      <c r="AP76" s="329">
        <f t="shared" ref="AP76:AR76" si="35">SUM(AP73:AP75)</f>
        <v>7620000</v>
      </c>
      <c r="AQ76" s="329">
        <f t="shared" si="35"/>
        <v>0</v>
      </c>
      <c r="AR76" s="329">
        <f t="shared" si="35"/>
        <v>14080000</v>
      </c>
      <c r="AS76" s="329">
        <f>SUM(AS73:AS75)</f>
        <v>21212223</v>
      </c>
      <c r="AT76" s="329">
        <f t="shared" ref="AT76:AW76" si="36">SUM(AT73:AT75)</f>
        <v>0</v>
      </c>
      <c r="AU76" s="329">
        <f t="shared" si="36"/>
        <v>9191402</v>
      </c>
      <c r="AV76" s="329">
        <f t="shared" si="36"/>
        <v>0</v>
      </c>
      <c r="AW76" s="329">
        <f t="shared" si="36"/>
        <v>12020821</v>
      </c>
      <c r="AX76" s="329">
        <f>SUM(AX73:AX75)</f>
        <v>106911022272.02202</v>
      </c>
      <c r="AY76" s="329">
        <f>SUM(AY73:AY75)</f>
        <v>0</v>
      </c>
      <c r="AZ76" s="329">
        <f>SUM(AZ73:AZ75)</f>
        <v>0</v>
      </c>
      <c r="BA76" s="329">
        <f>SUM(BA73:BA75)</f>
        <v>0</v>
      </c>
      <c r="BB76" s="329">
        <f>SUM(BB73:BB75)</f>
        <v>106911022272.02202</v>
      </c>
      <c r="BC76" s="329"/>
      <c r="BD76" s="182"/>
      <c r="BE76" s="182"/>
      <c r="BF76" s="182"/>
      <c r="BG76" s="218" t="s">
        <v>196</v>
      </c>
      <c r="BH76" s="219">
        <f>+BH68/BE70</f>
        <v>0.30557119902230551</v>
      </c>
      <c r="BI76" s="182"/>
      <c r="BJ76" s="317">
        <f>SUM(BJ73:BJ75)</f>
        <v>5757000</v>
      </c>
      <c r="BK76" s="318">
        <f>SUM(BK73:BK75)</f>
        <v>8161000</v>
      </c>
      <c r="BL76" s="321"/>
      <c r="BM76" s="320">
        <f>BM72+BM62+BM38</f>
        <v>111568000</v>
      </c>
      <c r="BN76" s="321"/>
    </row>
    <row r="77" spans="2:66" ht="17.100000000000001" customHeight="1" thickBot="1">
      <c r="B77" s="220" t="s">
        <v>197</v>
      </c>
      <c r="C77" s="221"/>
      <c r="D77" s="215"/>
      <c r="E77" s="368">
        <f t="shared" si="19"/>
        <v>6.2300000000000008E-2</v>
      </c>
      <c r="F77" s="368">
        <f t="shared" si="19"/>
        <v>4.5067554032096523E-2</v>
      </c>
      <c r="G77" s="368">
        <f t="shared" si="19"/>
        <v>2.9045692210616429E-2</v>
      </c>
      <c r="H77" s="368"/>
      <c r="I77" s="372">
        <f t="shared" si="1"/>
        <v>0.34513444048424974</v>
      </c>
      <c r="J77" s="331">
        <f t="shared" si="4"/>
        <v>12473375.649278464</v>
      </c>
      <c r="K77" s="331">
        <f>J77*0.65</f>
        <v>8107694.1720310021</v>
      </c>
      <c r="L77" s="331">
        <f>J77*0.02</f>
        <v>249467.51298556928</v>
      </c>
      <c r="M77" s="340">
        <v>0</v>
      </c>
      <c r="N77" s="332">
        <f>J77-K77-L77</f>
        <v>4116213.9642618923</v>
      </c>
      <c r="O77" s="331">
        <f>P77+Q77+R77+S77</f>
        <v>8070885</v>
      </c>
      <c r="P77" s="331">
        <v>6053164</v>
      </c>
      <c r="Q77" s="331"/>
      <c r="R77" s="340">
        <v>0</v>
      </c>
      <c r="S77" s="332">
        <v>2017721</v>
      </c>
      <c r="T77" s="331">
        <f t="shared" si="5"/>
        <v>9213000</v>
      </c>
      <c r="U77" s="244">
        <v>8191161</v>
      </c>
      <c r="V77" s="331">
        <v>422670</v>
      </c>
      <c r="W77" s="331"/>
      <c r="X77" s="332">
        <v>599169</v>
      </c>
      <c r="Y77" s="331">
        <f t="shared" ref="Y77:Y78" si="37">Z77+AA77+AB77+AC77</f>
        <v>5131396.8159999996</v>
      </c>
      <c r="Z77" s="331">
        <v>3335407.9304</v>
      </c>
      <c r="AA77" s="331">
        <v>100000</v>
      </c>
      <c r="AB77" s="340">
        <v>0</v>
      </c>
      <c r="AC77" s="332">
        <v>1695988.8855999997</v>
      </c>
      <c r="AD77" s="331">
        <f t="shared" ref="AD77:AD78" si="38">AE77+AF77+AG77+AH77</f>
        <v>12296222</v>
      </c>
      <c r="AE77" s="331">
        <v>10286849</v>
      </c>
      <c r="AF77" s="331">
        <v>719741</v>
      </c>
      <c r="AG77" s="340">
        <v>0</v>
      </c>
      <c r="AH77" s="332">
        <v>1289632</v>
      </c>
      <c r="AI77" s="193">
        <v>13622512</v>
      </c>
      <c r="AJ77" s="244">
        <v>11570054</v>
      </c>
      <c r="AK77" s="244"/>
      <c r="AL77" s="244"/>
      <c r="AM77" s="245">
        <v>2052458</v>
      </c>
      <c r="AN77" s="331">
        <f t="shared" si="9"/>
        <v>8000000</v>
      </c>
      <c r="AO77" s="331">
        <v>6664000</v>
      </c>
      <c r="AP77" s="331">
        <v>469139</v>
      </c>
      <c r="AQ77" s="340">
        <v>0</v>
      </c>
      <c r="AR77" s="332">
        <v>866861</v>
      </c>
      <c r="AS77" s="331">
        <f t="shared" si="10"/>
        <v>25904120</v>
      </c>
      <c r="AT77" s="331">
        <v>22803454.511971712</v>
      </c>
      <c r="AU77" s="331">
        <v>1343539.6642772516</v>
      </c>
      <c r="AV77" s="331">
        <v>0</v>
      </c>
      <c r="AW77" s="332">
        <v>1757125.8237510379</v>
      </c>
      <c r="AX77" s="331">
        <f t="shared" ref="AX77:AX78" si="39">AY77+AZ77+BA77+BB77</f>
        <v>25179075000</v>
      </c>
      <c r="AY77" s="331">
        <v>19892266206.328583</v>
      </c>
      <c r="AZ77" s="331"/>
      <c r="BA77" s="340">
        <v>0</v>
      </c>
      <c r="BB77" s="332">
        <v>5286808793.6714182</v>
      </c>
      <c r="BC77" s="332"/>
      <c r="BD77" s="182"/>
      <c r="BE77" s="182"/>
      <c r="BF77" s="182"/>
      <c r="BG77" s="222" t="s">
        <v>198</v>
      </c>
      <c r="BH77" s="223">
        <f>+BH67/BE70</f>
        <v>0.36208551996045235</v>
      </c>
      <c r="BI77" s="182"/>
      <c r="BJ77" s="317">
        <v>422670</v>
      </c>
      <c r="BK77" s="318">
        <v>599169</v>
      </c>
      <c r="BL77" s="321"/>
      <c r="BM77" s="320">
        <v>8191161</v>
      </c>
      <c r="BN77" s="321"/>
    </row>
    <row r="78" spans="2:66" ht="17.100000000000001" customHeight="1" thickBot="1">
      <c r="B78" s="224" t="s">
        <v>199</v>
      </c>
      <c r="C78" s="225"/>
      <c r="D78" s="226"/>
      <c r="E78" s="368">
        <f t="shared" si="19"/>
        <v>3.9300000000000009E-2</v>
      </c>
      <c r="F78" s="368">
        <f t="shared" si="19"/>
        <v>2.8429452222494277E-2</v>
      </c>
      <c r="G78" s="373">
        <f t="shared" si="19"/>
        <v>5.2282245979109569E-2</v>
      </c>
      <c r="H78" s="373"/>
      <c r="I78" s="374">
        <f t="shared" si="1"/>
        <v>0.19392434181247317</v>
      </c>
      <c r="J78" s="331">
        <f t="shared" si="4"/>
        <v>7868437.6086138627</v>
      </c>
      <c r="K78" s="331">
        <f>J78*0.65</f>
        <v>5114484.4455990111</v>
      </c>
      <c r="L78" s="333">
        <f>J78*0.06</f>
        <v>472106.25651683175</v>
      </c>
      <c r="M78" s="341">
        <v>0</v>
      </c>
      <c r="N78" s="334">
        <f>J78-K78-L78</f>
        <v>2281846.9064980196</v>
      </c>
      <c r="O78" s="331">
        <f>P78+Q78+R78+S78</f>
        <v>14527594</v>
      </c>
      <c r="P78" s="331">
        <v>10895695</v>
      </c>
      <c r="Q78" s="333"/>
      <c r="R78" s="341">
        <v>0</v>
      </c>
      <c r="S78" s="334">
        <v>3631899</v>
      </c>
      <c r="T78" s="331">
        <f t="shared" si="5"/>
        <v>4766000</v>
      </c>
      <c r="U78" s="244">
        <v>4237390</v>
      </c>
      <c r="V78" s="333">
        <v>218653</v>
      </c>
      <c r="W78" s="333"/>
      <c r="X78" s="334">
        <v>309957</v>
      </c>
      <c r="Y78" s="331">
        <f t="shared" si="37"/>
        <v>3236980.656</v>
      </c>
      <c r="Z78" s="331">
        <v>2104037.4264000002</v>
      </c>
      <c r="AA78" s="333">
        <v>180000</v>
      </c>
      <c r="AB78" s="341">
        <v>0</v>
      </c>
      <c r="AC78" s="334">
        <v>952943.22959999973</v>
      </c>
      <c r="AD78" s="331">
        <f t="shared" si="38"/>
        <v>11450121</v>
      </c>
      <c r="AE78" s="331">
        <v>9579012</v>
      </c>
      <c r="AF78" s="333">
        <v>670216</v>
      </c>
      <c r="AG78" s="341">
        <v>0</v>
      </c>
      <c r="AH78" s="334">
        <v>1200893</v>
      </c>
      <c r="AI78" s="193">
        <v>13622513</v>
      </c>
      <c r="AJ78" s="244">
        <v>11570054</v>
      </c>
      <c r="AK78" s="246"/>
      <c r="AL78" s="246"/>
      <c r="AM78" s="247">
        <v>2052459</v>
      </c>
      <c r="AN78" s="331">
        <f t="shared" si="9"/>
        <v>8000000</v>
      </c>
      <c r="AO78" s="331">
        <v>6664000</v>
      </c>
      <c r="AP78" s="333">
        <v>469139</v>
      </c>
      <c r="AQ78" s="341">
        <v>0</v>
      </c>
      <c r="AR78" s="334">
        <v>866861</v>
      </c>
      <c r="AS78" s="331">
        <f t="shared" si="10"/>
        <v>11481102</v>
      </c>
      <c r="AT78" s="331">
        <v>10106839.653472399</v>
      </c>
      <c r="AU78" s="333">
        <v>595477.31892119406</v>
      </c>
      <c r="AV78" s="333">
        <v>0</v>
      </c>
      <c r="AW78" s="334">
        <v>778785.0276064073</v>
      </c>
      <c r="AX78" s="331">
        <f t="shared" si="39"/>
        <v>25179075000</v>
      </c>
      <c r="AY78" s="331">
        <v>19892266206.328583</v>
      </c>
      <c r="AZ78" s="333"/>
      <c r="BA78" s="341">
        <v>0</v>
      </c>
      <c r="BB78" s="334">
        <v>5286808793.6714182</v>
      </c>
      <c r="BC78" s="334"/>
      <c r="BD78" s="182"/>
      <c r="BE78" s="182"/>
      <c r="BF78" s="182"/>
      <c r="BG78" s="182"/>
      <c r="BH78" s="182"/>
      <c r="BI78" s="182"/>
      <c r="BJ78" s="317">
        <v>218653</v>
      </c>
      <c r="BK78" s="318">
        <v>309957</v>
      </c>
      <c r="BL78" s="324"/>
      <c r="BM78" s="317">
        <v>4237390</v>
      </c>
      <c r="BN78" s="325"/>
    </row>
    <row r="79" spans="2:66" ht="17.100000000000001" customHeight="1" thickBot="1">
      <c r="B79" s="260" t="s">
        <v>200</v>
      </c>
      <c r="C79" s="261"/>
      <c r="D79" s="262"/>
      <c r="E79" s="377">
        <f>E78+E77+E76+E72+E62+E38</f>
        <v>0.99999999999999989</v>
      </c>
      <c r="F79" s="369">
        <f t="shared" si="19"/>
        <v>1</v>
      </c>
      <c r="G79" s="369">
        <f t="shared" si="19"/>
        <v>1</v>
      </c>
      <c r="H79" s="369"/>
      <c r="I79" s="375">
        <f t="shared" si="1"/>
        <v>1</v>
      </c>
      <c r="J79" s="379">
        <v>200214697.42020002</v>
      </c>
      <c r="K79" s="263">
        <f t="shared" ref="K79:U79" si="40">K78+K77+K76+K72+K62+K38</f>
        <v>179900914.2199465</v>
      </c>
      <c r="L79" s="263">
        <f t="shared" si="40"/>
        <v>8409818.1504380815</v>
      </c>
      <c r="M79" s="263">
        <f t="shared" si="40"/>
        <v>0</v>
      </c>
      <c r="N79" s="314">
        <f t="shared" si="40"/>
        <v>11903965.049815413</v>
      </c>
      <c r="O79" s="263">
        <f t="shared" si="40"/>
        <v>161417706</v>
      </c>
      <c r="P79" s="263">
        <f t="shared" si="40"/>
        <v>121063279</v>
      </c>
      <c r="Q79" s="263">
        <f t="shared" si="40"/>
        <v>0</v>
      </c>
      <c r="R79" s="263">
        <f t="shared" si="40"/>
        <v>0</v>
      </c>
      <c r="S79" s="314">
        <f t="shared" si="40"/>
        <v>40354427</v>
      </c>
      <c r="T79" s="263">
        <f t="shared" si="40"/>
        <v>139465000</v>
      </c>
      <c r="U79" s="263">
        <f t="shared" si="40"/>
        <v>123996551</v>
      </c>
      <c r="V79" s="263">
        <f t="shared" ref="V79:X79" si="41">V38+V62+V72+V73+V74+V75+V77+V78</f>
        <v>6398323</v>
      </c>
      <c r="W79" s="263">
        <f t="shared" si="41"/>
        <v>0</v>
      </c>
      <c r="X79" s="314">
        <f t="shared" si="41"/>
        <v>9070126</v>
      </c>
      <c r="Y79" s="263">
        <f t="shared" ref="Y79:AH79" si="42">Y78+Y77+Y76+Y72+Y62+Y38</f>
        <v>82365919.999999985</v>
      </c>
      <c r="Z79" s="263">
        <f t="shared" si="42"/>
        <v>74009073.756799981</v>
      </c>
      <c r="AA79" s="263">
        <f t="shared" si="42"/>
        <v>3442851.3279999993</v>
      </c>
      <c r="AB79" s="263">
        <f t="shared" si="42"/>
        <v>0</v>
      </c>
      <c r="AC79" s="314">
        <f t="shared" si="42"/>
        <v>4913994.9151999988</v>
      </c>
      <c r="AD79" s="263">
        <f t="shared" si="42"/>
        <v>204073260</v>
      </c>
      <c r="AE79" s="263">
        <f t="shared" si="42"/>
        <v>170724853</v>
      </c>
      <c r="AF79" s="263">
        <f t="shared" si="42"/>
        <v>11945128</v>
      </c>
      <c r="AG79" s="263">
        <f t="shared" si="42"/>
        <v>0</v>
      </c>
      <c r="AH79" s="314">
        <f t="shared" si="42"/>
        <v>21403279</v>
      </c>
      <c r="AI79" s="263">
        <f>AI38+AI62+AI72+AI73+AI74+AI75+AI77+AI78</f>
        <v>272450247</v>
      </c>
      <c r="AJ79" s="263">
        <f t="shared" ref="AJ79:AM80" si="43">AJ38+AJ62+AJ72+AJ73+AJ74+AJ75+AJ77+AJ78</f>
        <v>231401077</v>
      </c>
      <c r="AK79" s="263">
        <f t="shared" si="43"/>
        <v>0</v>
      </c>
      <c r="AL79" s="263">
        <f t="shared" si="43"/>
        <v>0</v>
      </c>
      <c r="AM79" s="314">
        <f t="shared" si="43"/>
        <v>41049170</v>
      </c>
      <c r="AN79" s="263">
        <f t="shared" ref="AN79:AT79" si="44">AN78+AN77+AN76+AN72+AN62+AN38</f>
        <v>147794836</v>
      </c>
      <c r="AO79" s="263">
        <f t="shared" si="44"/>
        <v>123422836</v>
      </c>
      <c r="AP79" s="263">
        <f t="shared" si="44"/>
        <v>8558278</v>
      </c>
      <c r="AQ79" s="263">
        <f t="shared" si="44"/>
        <v>0</v>
      </c>
      <c r="AR79" s="314">
        <f t="shared" si="44"/>
        <v>15813722</v>
      </c>
      <c r="AS79" s="263">
        <f t="shared" si="44"/>
        <v>214600072</v>
      </c>
      <c r="AT79" s="263">
        <f t="shared" si="44"/>
        <v>188912921.16544411</v>
      </c>
      <c r="AU79" s="263">
        <f t="shared" ref="AU79:AW80" si="45">AU38+AU62+AU72+AU73+AU74+AU75+AU77+AU78</f>
        <v>11130418.983198445</v>
      </c>
      <c r="AV79" s="263">
        <f t="shared" si="45"/>
        <v>0</v>
      </c>
      <c r="AW79" s="314">
        <f t="shared" si="45"/>
        <v>14556731.851357445</v>
      </c>
      <c r="AX79" s="263">
        <f>AX78+AX77+AX76+AX72+AX62+AX38</f>
        <v>559535000000</v>
      </c>
      <c r="AY79" s="263">
        <f>AY78+AY77+AY76+AY72+AY62+AY38</f>
        <v>442050360140.63513</v>
      </c>
      <c r="AZ79" s="263">
        <f>AZ78+AZ77+AZ76+AZ72+AZ62+AZ38</f>
        <v>0</v>
      </c>
      <c r="BA79" s="263">
        <f>BA78+BA77+BA76+BA72+BA62+BA38</f>
        <v>0</v>
      </c>
      <c r="BB79" s="314">
        <f>BB78+BB77+BB76+BB72+BB62+BB38</f>
        <v>117484639859.36485</v>
      </c>
      <c r="BC79" s="314"/>
      <c r="BD79" s="182"/>
      <c r="BE79" s="182"/>
      <c r="BF79" s="182"/>
      <c r="BG79" s="182"/>
      <c r="BH79" s="182"/>
      <c r="BI79" s="182"/>
      <c r="BJ79" s="182"/>
      <c r="BK79" s="319">
        <f t="shared" ref="BK79:BK80" si="46">BM79+BO79+BP79+BQ79</f>
        <v>123996551</v>
      </c>
      <c r="BL79" s="326"/>
      <c r="BM79" s="319">
        <f>BM78+BM77+BM75+BM74+BM73+BM72+BM62+BM38</f>
        <v>123996551</v>
      </c>
      <c r="BN79" s="326"/>
    </row>
    <row r="80" spans="2:66" ht="17.100000000000001" customHeight="1" thickBot="1">
      <c r="B80" s="260" t="s">
        <v>389</v>
      </c>
      <c r="C80" s="261"/>
      <c r="D80" s="262"/>
      <c r="E80" s="263">
        <f>E79/E$13</f>
        <v>1.6120988275523976E-5</v>
      </c>
      <c r="F80" s="263"/>
      <c r="G80" s="263"/>
      <c r="H80" s="263"/>
      <c r="I80" s="314"/>
      <c r="J80" s="263">
        <f>J79/J$13</f>
        <v>3227.6587896986252</v>
      </c>
      <c r="K80" s="263"/>
      <c r="L80" s="263"/>
      <c r="M80" s="263"/>
      <c r="N80" s="314"/>
      <c r="O80" s="263">
        <f>O79/O$13</f>
        <v>3003.5076744234734</v>
      </c>
      <c r="P80" s="263">
        <f>P79+P78+P77+P73+P63+P39</f>
        <v>143221538</v>
      </c>
      <c r="Q80" s="263">
        <f>Q79+Q78+Q77+Q73+Q63+Q39</f>
        <v>0</v>
      </c>
      <c r="R80" s="263">
        <f>R79+R78+R77+R73+R63+R39</f>
        <v>0</v>
      </c>
      <c r="S80" s="314">
        <f>S79+S78+S77+S73+S63+S39</f>
        <v>58917464</v>
      </c>
      <c r="T80" s="263">
        <f>T79/T$13</f>
        <v>2999.3561760565835</v>
      </c>
      <c r="U80" s="263"/>
      <c r="V80" s="263"/>
      <c r="W80" s="263"/>
      <c r="X80" s="314"/>
      <c r="Y80" s="263">
        <f>Y79/Y$13</f>
        <v>3593.2311382118073</v>
      </c>
      <c r="Z80" s="263">
        <f>Z79+Z78+Z77+Z73+Z63+Z39</f>
        <v>83702917.383467183</v>
      </c>
      <c r="AA80" s="263">
        <f>AA79+AA78+AA77+AA73+AA63+AA39</f>
        <v>6885702.6559999986</v>
      </c>
      <c r="AB80" s="263">
        <f>AB79+AB78+AB77+AB73+AB63+AB39</f>
        <v>0</v>
      </c>
      <c r="AC80" s="314">
        <f>AC79+AC78+AC77+AC73+AC63+AC39</f>
        <v>7562927.0303999977</v>
      </c>
      <c r="AD80" s="263">
        <f>AD79/AD$13</f>
        <v>3391.2334596015626</v>
      </c>
      <c r="AE80" s="263">
        <f>AE79+AE78+AE77+AE73+AE63+AE39</f>
        <v>198773826</v>
      </c>
      <c r="AF80" s="263">
        <f>AF79+AF78+AF77+AF73+AF63+AF39</f>
        <v>23890256</v>
      </c>
      <c r="AG80" s="263">
        <f>AG79+AG78+AG77+AG73+AG63+AG39</f>
        <v>0</v>
      </c>
      <c r="AH80" s="314">
        <f>AH79+AH78+AH77+AH73+AH63+AH39</f>
        <v>23893804</v>
      </c>
      <c r="AI80" s="263">
        <f>AI79/AI$13</f>
        <v>3169.8896184731207</v>
      </c>
      <c r="AJ80" s="263">
        <f t="shared" si="43"/>
        <v>463437871</v>
      </c>
      <c r="AK80" s="263">
        <f t="shared" si="43"/>
        <v>0</v>
      </c>
      <c r="AL80" s="263">
        <f t="shared" si="43"/>
        <v>0</v>
      </c>
      <c r="AM80" s="314">
        <f t="shared" si="43"/>
        <v>116990135</v>
      </c>
      <c r="AN80" s="263">
        <f>AN79/AN$13</f>
        <v>3394.9847176511707</v>
      </c>
      <c r="AO80" s="263">
        <f>AO79+AO78+AO77+AO73+AO63+AO39</f>
        <v>142921148</v>
      </c>
      <c r="AP80" s="263">
        <f>AP79+AP78+AP77+AP73+AP63+AP39</f>
        <v>17116556</v>
      </c>
      <c r="AQ80" s="263">
        <f>AQ79+AQ78+AQ77+AQ73+AQ63+AQ39</f>
        <v>0</v>
      </c>
      <c r="AR80" s="314">
        <f>AR79+AR78+AR77+AR73+AR63+AR39</f>
        <v>17547444</v>
      </c>
      <c r="AS80" s="263">
        <f>AS79/AS$13</f>
        <v>3189.9872893549036</v>
      </c>
      <c r="AT80" s="263">
        <f>AT79+AT78+AT77+AT73+AT63+AT39</f>
        <v>229364510.33088821</v>
      </c>
      <c r="AU80" s="263">
        <f t="shared" si="45"/>
        <v>30108700.302119639</v>
      </c>
      <c r="AV80" s="263">
        <f t="shared" si="45"/>
        <v>0</v>
      </c>
      <c r="AW80" s="314">
        <f t="shared" si="45"/>
        <v>39377158.878963858</v>
      </c>
      <c r="AX80" s="263">
        <f>AX79/AX$13</f>
        <v>3967435.5755466302</v>
      </c>
      <c r="AY80" s="263">
        <f>AY79+AY78+AY77+AY73+AY63+AY39</f>
        <v>505981879386.81769</v>
      </c>
      <c r="AZ80" s="263">
        <f>AZ79+AZ78+AZ77+AZ73+AZ63+AZ39</f>
        <v>0</v>
      </c>
      <c r="BA80" s="263">
        <f>BA79+BA78+BA77+BA73+BA63+BA39</f>
        <v>0</v>
      </c>
      <c r="BB80" s="314">
        <f>BB79+BB78+BB77+BB73+BB63+BB39</f>
        <v>177564169878.93735</v>
      </c>
      <c r="BC80" s="314"/>
      <c r="BD80" s="182"/>
      <c r="BE80" s="182"/>
      <c r="BF80" s="182"/>
      <c r="BG80" s="182"/>
      <c r="BH80" s="182"/>
      <c r="BI80" s="182"/>
      <c r="BJ80" s="182"/>
      <c r="BK80" s="319">
        <f t="shared" si="46"/>
        <v>245442941</v>
      </c>
      <c r="BL80" s="326"/>
      <c r="BM80" s="319">
        <f>BM79+BM78+BM76+BM75+BM74+BM73+BM63+BM39</f>
        <v>245442941</v>
      </c>
      <c r="BN80" s="326"/>
    </row>
    <row r="81" spans="5:62" ht="17.100000000000001" customHeight="1">
      <c r="E81" s="8"/>
      <c r="F81" s="227"/>
      <c r="G81" s="227"/>
      <c r="H81" s="227"/>
      <c r="I81" s="227"/>
      <c r="J81" s="8"/>
      <c r="K81" s="227"/>
      <c r="L81" s="227"/>
      <c r="M81" s="227"/>
      <c r="N81" s="227"/>
      <c r="O81" s="8"/>
      <c r="P81" s="227"/>
      <c r="Q81" s="227"/>
      <c r="R81" s="227"/>
      <c r="S81" s="227"/>
      <c r="T81" s="8"/>
      <c r="U81" s="227"/>
      <c r="V81" s="227"/>
      <c r="W81" s="227"/>
      <c r="X81" s="227"/>
      <c r="Y81" s="8"/>
      <c r="Z81" s="227"/>
      <c r="AA81" s="227"/>
      <c r="AB81" s="227"/>
      <c r="AC81" s="227"/>
      <c r="AD81" s="8"/>
      <c r="AE81" s="227"/>
      <c r="AF81" s="227"/>
      <c r="AG81" s="227"/>
      <c r="AH81" s="227"/>
      <c r="AI81" s="8"/>
      <c r="AJ81" s="227"/>
      <c r="AK81" s="227"/>
      <c r="AL81" s="227"/>
      <c r="AM81" s="227"/>
      <c r="AN81" s="8"/>
      <c r="AO81" s="227"/>
      <c r="AP81" s="227"/>
      <c r="AQ81" s="227"/>
      <c r="AR81" s="227"/>
      <c r="AS81" s="8"/>
      <c r="AT81" s="227"/>
      <c r="AU81" s="227"/>
      <c r="AV81" s="227"/>
      <c r="AW81" s="227"/>
      <c r="AX81" s="8"/>
      <c r="AY81" s="227"/>
      <c r="AZ81" s="227"/>
      <c r="BA81" s="227"/>
      <c r="BB81" s="227"/>
      <c r="BC81" s="227"/>
      <c r="BD81" s="182"/>
      <c r="BE81" s="182"/>
      <c r="BF81" s="182"/>
      <c r="BG81" s="182"/>
      <c r="BH81" s="182"/>
      <c r="BI81" s="182"/>
      <c r="BJ81" s="182"/>
    </row>
    <row r="82" spans="5:62" ht="17.100000000000001" customHeight="1">
      <c r="E82" s="252"/>
      <c r="F82" s="227"/>
      <c r="G82" s="227">
        <f>X79-E79-H79</f>
        <v>9070125</v>
      </c>
      <c r="H82" s="227">
        <f>E79-F79-I79</f>
        <v>-1</v>
      </c>
      <c r="I82" s="227"/>
      <c r="J82" s="380">
        <f>J78+J77+J76+J72+J62+J38</f>
        <v>200214697.42020002</v>
      </c>
      <c r="K82" s="227"/>
      <c r="L82" s="227">
        <f>AC79-J79-M79</f>
        <v>-195300702.50500003</v>
      </c>
      <c r="M82" s="227">
        <f>J79-K79-N79</f>
        <v>8409818.1504381038</v>
      </c>
      <c r="N82" s="227"/>
      <c r="O82" s="252"/>
      <c r="P82" s="227"/>
      <c r="Q82" s="227">
        <f>AH79-O79-R79</f>
        <v>-140014427</v>
      </c>
      <c r="R82" s="227">
        <f>O79-P79-S79</f>
        <v>0</v>
      </c>
      <c r="S82" s="227"/>
      <c r="T82" s="252"/>
      <c r="U82" s="227"/>
      <c r="V82" s="227">
        <f>AM79-T79-W79</f>
        <v>-98415830</v>
      </c>
      <c r="W82" s="227">
        <f>T79-U79-X79</f>
        <v>6398323</v>
      </c>
      <c r="X82" s="227"/>
      <c r="Y82" s="252"/>
      <c r="Z82" s="227"/>
      <c r="AA82" s="227">
        <f>AH79-Y79-AB79</f>
        <v>-60962640.999999985</v>
      </c>
      <c r="AB82" s="227">
        <f>Y79-Z79-AC79</f>
        <v>3442851.3280000053</v>
      </c>
      <c r="AC82" s="227"/>
      <c r="AD82" s="252"/>
      <c r="AE82" s="227"/>
      <c r="AF82" s="227">
        <f>AR79-AD79-AG79</f>
        <v>-188259538</v>
      </c>
      <c r="AG82" s="227">
        <f>AD79-AE79-AH79</f>
        <v>11945128</v>
      </c>
      <c r="AH82" s="227"/>
      <c r="AI82" s="252"/>
      <c r="AJ82" s="227"/>
      <c r="AK82" s="227">
        <f>D79-AI79-AL79</f>
        <v>-272450247</v>
      </c>
      <c r="AL82" s="227">
        <f>AI79-AJ79-AM79</f>
        <v>0</v>
      </c>
      <c r="AM82" s="227"/>
      <c r="AN82" s="252"/>
      <c r="AO82" s="227"/>
      <c r="AP82" s="227">
        <f>AW79-AN79-AQ79</f>
        <v>-133238104.14864255</v>
      </c>
      <c r="AQ82" s="227">
        <f>AN79-AO79-AR79</f>
        <v>8558278</v>
      </c>
      <c r="AR82" s="227"/>
      <c r="AS82" s="252"/>
      <c r="AT82" s="227"/>
      <c r="AU82" s="227">
        <f>X79-AS79-AV79</f>
        <v>-205529946</v>
      </c>
      <c r="AV82" s="227">
        <f>AS79-AT79-AW79</f>
        <v>11130418.983198449</v>
      </c>
      <c r="AW82" s="227"/>
      <c r="AX82" s="252"/>
      <c r="AY82" s="227"/>
      <c r="AZ82" s="227">
        <f>S79-AX79-BA79</f>
        <v>-559494645573</v>
      </c>
      <c r="BA82" s="227">
        <f>AX79-AY79-BB79</f>
        <v>0</v>
      </c>
      <c r="BB82" s="227"/>
      <c r="BC82" s="227"/>
      <c r="BD82" s="182"/>
      <c r="BE82" s="182"/>
      <c r="BF82" s="182"/>
      <c r="BG82" s="182"/>
      <c r="BH82" s="182"/>
      <c r="BI82" s="182"/>
      <c r="BJ82" s="182"/>
    </row>
    <row r="83" spans="5:62" ht="17.100000000000001" customHeight="1">
      <c r="E83" s="253"/>
      <c r="F83" s="227"/>
      <c r="G83" s="227"/>
      <c r="H83" s="227"/>
      <c r="I83" s="227"/>
      <c r="J83" s="378">
        <f>200214697420.2/1000</f>
        <v>200214697.42020002</v>
      </c>
      <c r="K83" s="227"/>
      <c r="L83" s="227"/>
      <c r="M83" s="227"/>
      <c r="N83" s="227"/>
      <c r="O83" s="253"/>
      <c r="P83" s="227"/>
      <c r="Q83" s="227"/>
      <c r="R83" s="227"/>
      <c r="S83" s="227"/>
      <c r="T83" s="253"/>
      <c r="U83" s="227"/>
      <c r="V83" s="227"/>
      <c r="W83" s="227"/>
      <c r="X83" s="227"/>
      <c r="Y83" s="253"/>
      <c r="Z83" s="227"/>
      <c r="AA83" s="227"/>
      <c r="AB83" s="227"/>
      <c r="AC83" s="227"/>
      <c r="AD83" s="253"/>
      <c r="AE83" s="227"/>
      <c r="AF83" s="227"/>
      <c r="AG83" s="227"/>
      <c r="AH83" s="227"/>
      <c r="AI83" s="253"/>
      <c r="AJ83" s="227"/>
      <c r="AK83" s="227"/>
      <c r="AL83" s="227"/>
      <c r="AM83" s="227"/>
      <c r="AN83" s="253"/>
      <c r="AO83" s="227"/>
      <c r="AP83" s="227"/>
      <c r="AQ83" s="227"/>
      <c r="AR83" s="227"/>
      <c r="AS83" s="253"/>
      <c r="AT83" s="227"/>
      <c r="AU83" s="227"/>
      <c r="AV83" s="227"/>
      <c r="AW83" s="227"/>
      <c r="AX83" s="253"/>
      <c r="AY83" s="227"/>
      <c r="AZ83" s="227"/>
      <c r="BA83" s="227"/>
      <c r="BB83" s="227"/>
      <c r="BC83" s="227"/>
      <c r="BD83" s="182"/>
      <c r="BE83" s="182"/>
      <c r="BF83" s="182"/>
      <c r="BG83" s="182"/>
      <c r="BH83" s="182"/>
      <c r="BI83" s="182"/>
      <c r="BJ83" s="182"/>
    </row>
    <row r="84" spans="5:62" ht="17.100000000000001" customHeight="1">
      <c r="Z84" s="381">
        <f>Z77/Y77</f>
        <v>0.65</v>
      </c>
      <c r="AA84" s="381">
        <f>AA77/Y77</f>
        <v>1.9487871155899318E-2</v>
      </c>
      <c r="AB84" s="381"/>
      <c r="AC84" s="381">
        <f>AC77/Y77</f>
        <v>0.33051212884410064</v>
      </c>
      <c r="BD84" s="182"/>
      <c r="BE84" s="182"/>
      <c r="BF84" s="182"/>
      <c r="BG84" s="182"/>
      <c r="BH84" s="182"/>
      <c r="BI84" s="182"/>
      <c r="BJ84" s="182"/>
    </row>
    <row r="85" spans="5:62" ht="17.100000000000001" customHeight="1">
      <c r="Z85" s="381">
        <f>Z78/Y78</f>
        <v>0.65000000000000013</v>
      </c>
      <c r="AA85" s="381">
        <f>AA78/Y78</f>
        <v>5.5607375863169196E-2</v>
      </c>
      <c r="AB85" s="381"/>
      <c r="AC85" s="381">
        <f>AC78/Y78</f>
        <v>0.29439262413683071</v>
      </c>
    </row>
  </sheetData>
  <mergeCells count="25">
    <mergeCell ref="B11:D11"/>
    <mergeCell ref="B6:D6"/>
    <mergeCell ref="B7:D7"/>
    <mergeCell ref="B8:D8"/>
    <mergeCell ref="B9:D9"/>
    <mergeCell ref="B10:D10"/>
    <mergeCell ref="B23:D23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C76:D76"/>
    <mergeCell ref="BE63:BE69"/>
    <mergeCell ref="BF63:BF66"/>
    <mergeCell ref="BF67:BG67"/>
    <mergeCell ref="BF68:BG68"/>
    <mergeCell ref="BF69:BG69"/>
    <mergeCell ref="BF70:BG70"/>
  </mergeCells>
  <phoneticPr fontId="4" type="noConversion"/>
  <printOptions horizontalCentered="1" verticalCentered="1"/>
  <pageMargins left="7.874015748031496E-2" right="7.874015748031496E-2" top="0.74803149606299213" bottom="0.35433070866141736" header="0.47244094488188981" footer="0.47244094488188981"/>
  <pageSetup paperSize="8" scale="38" fitToHeight="0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workbookViewId="0">
      <selection activeCell="F11" sqref="F11"/>
    </sheetView>
  </sheetViews>
  <sheetFormatPr defaultRowHeight="13.5"/>
  <cols>
    <col min="1" max="1" width="27.5546875" customWidth="1"/>
    <col min="2" max="2" width="8.21875" style="132" customWidth="1"/>
    <col min="3" max="3" width="12.5546875" style="132" customWidth="1"/>
    <col min="4" max="4" width="22.44140625" style="178" customWidth="1"/>
    <col min="257" max="257" width="27.5546875" customWidth="1"/>
    <col min="258" max="258" width="8.21875" customWidth="1"/>
    <col min="259" max="259" width="12.5546875" customWidth="1"/>
    <col min="260" max="260" width="22.44140625" customWidth="1"/>
    <col min="513" max="513" width="27.5546875" customWidth="1"/>
    <col min="514" max="514" width="8.21875" customWidth="1"/>
    <col min="515" max="515" width="12.5546875" customWidth="1"/>
    <col min="516" max="516" width="22.44140625" customWidth="1"/>
    <col min="769" max="769" width="27.5546875" customWidth="1"/>
    <col min="770" max="770" width="8.21875" customWidth="1"/>
    <col min="771" max="771" width="12.5546875" customWidth="1"/>
    <col min="772" max="772" width="22.44140625" customWidth="1"/>
    <col min="1025" max="1025" width="27.5546875" customWidth="1"/>
    <col min="1026" max="1026" width="8.21875" customWidth="1"/>
    <col min="1027" max="1027" width="12.5546875" customWidth="1"/>
    <col min="1028" max="1028" width="22.44140625" customWidth="1"/>
    <col min="1281" max="1281" width="27.5546875" customWidth="1"/>
    <col min="1282" max="1282" width="8.21875" customWidth="1"/>
    <col min="1283" max="1283" width="12.5546875" customWidth="1"/>
    <col min="1284" max="1284" width="22.44140625" customWidth="1"/>
    <col min="1537" max="1537" width="27.5546875" customWidth="1"/>
    <col min="1538" max="1538" width="8.21875" customWidth="1"/>
    <col min="1539" max="1539" width="12.5546875" customWidth="1"/>
    <col min="1540" max="1540" width="22.44140625" customWidth="1"/>
    <col min="1793" max="1793" width="27.5546875" customWidth="1"/>
    <col min="1794" max="1794" width="8.21875" customWidth="1"/>
    <col min="1795" max="1795" width="12.5546875" customWidth="1"/>
    <col min="1796" max="1796" width="22.44140625" customWidth="1"/>
    <col min="2049" max="2049" width="27.5546875" customWidth="1"/>
    <col min="2050" max="2050" width="8.21875" customWidth="1"/>
    <col min="2051" max="2051" width="12.5546875" customWidth="1"/>
    <col min="2052" max="2052" width="22.44140625" customWidth="1"/>
    <col min="2305" max="2305" width="27.5546875" customWidth="1"/>
    <col min="2306" max="2306" width="8.21875" customWidth="1"/>
    <col min="2307" max="2307" width="12.5546875" customWidth="1"/>
    <col min="2308" max="2308" width="22.44140625" customWidth="1"/>
    <col min="2561" max="2561" width="27.5546875" customWidth="1"/>
    <col min="2562" max="2562" width="8.21875" customWidth="1"/>
    <col min="2563" max="2563" width="12.5546875" customWidth="1"/>
    <col min="2564" max="2564" width="22.44140625" customWidth="1"/>
    <col min="2817" max="2817" width="27.5546875" customWidth="1"/>
    <col min="2818" max="2818" width="8.21875" customWidth="1"/>
    <col min="2819" max="2819" width="12.5546875" customWidth="1"/>
    <col min="2820" max="2820" width="22.44140625" customWidth="1"/>
    <col min="3073" max="3073" width="27.5546875" customWidth="1"/>
    <col min="3074" max="3074" width="8.21875" customWidth="1"/>
    <col min="3075" max="3075" width="12.5546875" customWidth="1"/>
    <col min="3076" max="3076" width="22.44140625" customWidth="1"/>
    <col min="3329" max="3329" width="27.5546875" customWidth="1"/>
    <col min="3330" max="3330" width="8.21875" customWidth="1"/>
    <col min="3331" max="3331" width="12.5546875" customWidth="1"/>
    <col min="3332" max="3332" width="22.44140625" customWidth="1"/>
    <col min="3585" max="3585" width="27.5546875" customWidth="1"/>
    <col min="3586" max="3586" width="8.21875" customWidth="1"/>
    <col min="3587" max="3587" width="12.5546875" customWidth="1"/>
    <col min="3588" max="3588" width="22.44140625" customWidth="1"/>
    <col min="3841" max="3841" width="27.5546875" customWidth="1"/>
    <col min="3842" max="3842" width="8.21875" customWidth="1"/>
    <col min="3843" max="3843" width="12.5546875" customWidth="1"/>
    <col min="3844" max="3844" width="22.44140625" customWidth="1"/>
    <col min="4097" max="4097" width="27.5546875" customWidth="1"/>
    <col min="4098" max="4098" width="8.21875" customWidth="1"/>
    <col min="4099" max="4099" width="12.5546875" customWidth="1"/>
    <col min="4100" max="4100" width="22.44140625" customWidth="1"/>
    <col min="4353" max="4353" width="27.5546875" customWidth="1"/>
    <col min="4354" max="4354" width="8.21875" customWidth="1"/>
    <col min="4355" max="4355" width="12.5546875" customWidth="1"/>
    <col min="4356" max="4356" width="22.44140625" customWidth="1"/>
    <col min="4609" max="4609" width="27.5546875" customWidth="1"/>
    <col min="4610" max="4610" width="8.21875" customWidth="1"/>
    <col min="4611" max="4611" width="12.5546875" customWidth="1"/>
    <col min="4612" max="4612" width="22.44140625" customWidth="1"/>
    <col min="4865" max="4865" width="27.5546875" customWidth="1"/>
    <col min="4866" max="4866" width="8.21875" customWidth="1"/>
    <col min="4867" max="4867" width="12.5546875" customWidth="1"/>
    <col min="4868" max="4868" width="22.44140625" customWidth="1"/>
    <col min="5121" max="5121" width="27.5546875" customWidth="1"/>
    <col min="5122" max="5122" width="8.21875" customWidth="1"/>
    <col min="5123" max="5123" width="12.5546875" customWidth="1"/>
    <col min="5124" max="5124" width="22.44140625" customWidth="1"/>
    <col min="5377" max="5377" width="27.5546875" customWidth="1"/>
    <col min="5378" max="5378" width="8.21875" customWidth="1"/>
    <col min="5379" max="5379" width="12.5546875" customWidth="1"/>
    <col min="5380" max="5380" width="22.44140625" customWidth="1"/>
    <col min="5633" max="5633" width="27.5546875" customWidth="1"/>
    <col min="5634" max="5634" width="8.21875" customWidth="1"/>
    <col min="5635" max="5635" width="12.5546875" customWidth="1"/>
    <col min="5636" max="5636" width="22.44140625" customWidth="1"/>
    <col min="5889" max="5889" width="27.5546875" customWidth="1"/>
    <col min="5890" max="5890" width="8.21875" customWidth="1"/>
    <col min="5891" max="5891" width="12.5546875" customWidth="1"/>
    <col min="5892" max="5892" width="22.44140625" customWidth="1"/>
    <col min="6145" max="6145" width="27.5546875" customWidth="1"/>
    <col min="6146" max="6146" width="8.21875" customWidth="1"/>
    <col min="6147" max="6147" width="12.5546875" customWidth="1"/>
    <col min="6148" max="6148" width="22.44140625" customWidth="1"/>
    <col min="6401" max="6401" width="27.5546875" customWidth="1"/>
    <col min="6402" max="6402" width="8.21875" customWidth="1"/>
    <col min="6403" max="6403" width="12.5546875" customWidth="1"/>
    <col min="6404" max="6404" width="22.44140625" customWidth="1"/>
    <col min="6657" max="6657" width="27.5546875" customWidth="1"/>
    <col min="6658" max="6658" width="8.21875" customWidth="1"/>
    <col min="6659" max="6659" width="12.5546875" customWidth="1"/>
    <col min="6660" max="6660" width="22.44140625" customWidth="1"/>
    <col min="6913" max="6913" width="27.5546875" customWidth="1"/>
    <col min="6914" max="6914" width="8.21875" customWidth="1"/>
    <col min="6915" max="6915" width="12.5546875" customWidth="1"/>
    <col min="6916" max="6916" width="22.44140625" customWidth="1"/>
    <col min="7169" max="7169" width="27.5546875" customWidth="1"/>
    <col min="7170" max="7170" width="8.21875" customWidth="1"/>
    <col min="7171" max="7171" width="12.5546875" customWidth="1"/>
    <col min="7172" max="7172" width="22.44140625" customWidth="1"/>
    <col min="7425" max="7425" width="27.5546875" customWidth="1"/>
    <col min="7426" max="7426" width="8.21875" customWidth="1"/>
    <col min="7427" max="7427" width="12.5546875" customWidth="1"/>
    <col min="7428" max="7428" width="22.44140625" customWidth="1"/>
    <col min="7681" max="7681" width="27.5546875" customWidth="1"/>
    <col min="7682" max="7682" width="8.21875" customWidth="1"/>
    <col min="7683" max="7683" width="12.5546875" customWidth="1"/>
    <col min="7684" max="7684" width="22.44140625" customWidth="1"/>
    <col min="7937" max="7937" width="27.5546875" customWidth="1"/>
    <col min="7938" max="7938" width="8.21875" customWidth="1"/>
    <col min="7939" max="7939" width="12.5546875" customWidth="1"/>
    <col min="7940" max="7940" width="22.44140625" customWidth="1"/>
    <col min="8193" max="8193" width="27.5546875" customWidth="1"/>
    <col min="8194" max="8194" width="8.21875" customWidth="1"/>
    <col min="8195" max="8195" width="12.5546875" customWidth="1"/>
    <col min="8196" max="8196" width="22.44140625" customWidth="1"/>
    <col min="8449" max="8449" width="27.5546875" customWidth="1"/>
    <col min="8450" max="8450" width="8.21875" customWidth="1"/>
    <col min="8451" max="8451" width="12.5546875" customWidth="1"/>
    <col min="8452" max="8452" width="22.44140625" customWidth="1"/>
    <col min="8705" max="8705" width="27.5546875" customWidth="1"/>
    <col min="8706" max="8706" width="8.21875" customWidth="1"/>
    <col min="8707" max="8707" width="12.5546875" customWidth="1"/>
    <col min="8708" max="8708" width="22.44140625" customWidth="1"/>
    <col min="8961" max="8961" width="27.5546875" customWidth="1"/>
    <col min="8962" max="8962" width="8.21875" customWidth="1"/>
    <col min="8963" max="8963" width="12.5546875" customWidth="1"/>
    <col min="8964" max="8964" width="22.44140625" customWidth="1"/>
    <col min="9217" max="9217" width="27.5546875" customWidth="1"/>
    <col min="9218" max="9218" width="8.21875" customWidth="1"/>
    <col min="9219" max="9219" width="12.5546875" customWidth="1"/>
    <col min="9220" max="9220" width="22.44140625" customWidth="1"/>
    <col min="9473" max="9473" width="27.5546875" customWidth="1"/>
    <col min="9474" max="9474" width="8.21875" customWidth="1"/>
    <col min="9475" max="9475" width="12.5546875" customWidth="1"/>
    <col min="9476" max="9476" width="22.44140625" customWidth="1"/>
    <col min="9729" max="9729" width="27.5546875" customWidth="1"/>
    <col min="9730" max="9730" width="8.21875" customWidth="1"/>
    <col min="9731" max="9731" width="12.5546875" customWidth="1"/>
    <col min="9732" max="9732" width="22.44140625" customWidth="1"/>
    <col min="9985" max="9985" width="27.5546875" customWidth="1"/>
    <col min="9986" max="9986" width="8.21875" customWidth="1"/>
    <col min="9987" max="9987" width="12.5546875" customWidth="1"/>
    <col min="9988" max="9988" width="22.44140625" customWidth="1"/>
    <col min="10241" max="10241" width="27.5546875" customWidth="1"/>
    <col min="10242" max="10242" width="8.21875" customWidth="1"/>
    <col min="10243" max="10243" width="12.5546875" customWidth="1"/>
    <col min="10244" max="10244" width="22.44140625" customWidth="1"/>
    <col min="10497" max="10497" width="27.5546875" customWidth="1"/>
    <col min="10498" max="10498" width="8.21875" customWidth="1"/>
    <col min="10499" max="10499" width="12.5546875" customWidth="1"/>
    <col min="10500" max="10500" width="22.44140625" customWidth="1"/>
    <col min="10753" max="10753" width="27.5546875" customWidth="1"/>
    <col min="10754" max="10754" width="8.21875" customWidth="1"/>
    <col min="10755" max="10755" width="12.5546875" customWidth="1"/>
    <col min="10756" max="10756" width="22.44140625" customWidth="1"/>
    <col min="11009" max="11009" width="27.5546875" customWidth="1"/>
    <col min="11010" max="11010" width="8.21875" customWidth="1"/>
    <col min="11011" max="11011" width="12.5546875" customWidth="1"/>
    <col min="11012" max="11012" width="22.44140625" customWidth="1"/>
    <col min="11265" max="11265" width="27.5546875" customWidth="1"/>
    <col min="11266" max="11266" width="8.21875" customWidth="1"/>
    <col min="11267" max="11267" width="12.5546875" customWidth="1"/>
    <col min="11268" max="11268" width="22.44140625" customWidth="1"/>
    <col min="11521" max="11521" width="27.5546875" customWidth="1"/>
    <col min="11522" max="11522" width="8.21875" customWidth="1"/>
    <col min="11523" max="11523" width="12.5546875" customWidth="1"/>
    <col min="11524" max="11524" width="22.44140625" customWidth="1"/>
    <col min="11777" max="11777" width="27.5546875" customWidth="1"/>
    <col min="11778" max="11778" width="8.21875" customWidth="1"/>
    <col min="11779" max="11779" width="12.5546875" customWidth="1"/>
    <col min="11780" max="11780" width="22.44140625" customWidth="1"/>
    <col min="12033" max="12033" width="27.5546875" customWidth="1"/>
    <col min="12034" max="12034" width="8.21875" customWidth="1"/>
    <col min="12035" max="12035" width="12.5546875" customWidth="1"/>
    <col min="12036" max="12036" width="22.44140625" customWidth="1"/>
    <col min="12289" max="12289" width="27.5546875" customWidth="1"/>
    <col min="12290" max="12290" width="8.21875" customWidth="1"/>
    <col min="12291" max="12291" width="12.5546875" customWidth="1"/>
    <col min="12292" max="12292" width="22.44140625" customWidth="1"/>
    <col min="12545" max="12545" width="27.5546875" customWidth="1"/>
    <col min="12546" max="12546" width="8.21875" customWidth="1"/>
    <col min="12547" max="12547" width="12.5546875" customWidth="1"/>
    <col min="12548" max="12548" width="22.44140625" customWidth="1"/>
    <col min="12801" max="12801" width="27.5546875" customWidth="1"/>
    <col min="12802" max="12802" width="8.21875" customWidth="1"/>
    <col min="12803" max="12803" width="12.5546875" customWidth="1"/>
    <col min="12804" max="12804" width="22.44140625" customWidth="1"/>
    <col min="13057" max="13057" width="27.5546875" customWidth="1"/>
    <col min="13058" max="13058" width="8.21875" customWidth="1"/>
    <col min="13059" max="13059" width="12.5546875" customWidth="1"/>
    <col min="13060" max="13060" width="22.44140625" customWidth="1"/>
    <col min="13313" max="13313" width="27.5546875" customWidth="1"/>
    <col min="13314" max="13314" width="8.21875" customWidth="1"/>
    <col min="13315" max="13315" width="12.5546875" customWidth="1"/>
    <col min="13316" max="13316" width="22.44140625" customWidth="1"/>
    <col min="13569" max="13569" width="27.5546875" customWidth="1"/>
    <col min="13570" max="13570" width="8.21875" customWidth="1"/>
    <col min="13571" max="13571" width="12.5546875" customWidth="1"/>
    <col min="13572" max="13572" width="22.44140625" customWidth="1"/>
    <col min="13825" max="13825" width="27.5546875" customWidth="1"/>
    <col min="13826" max="13826" width="8.21875" customWidth="1"/>
    <col min="13827" max="13827" width="12.5546875" customWidth="1"/>
    <col min="13828" max="13828" width="22.44140625" customWidth="1"/>
    <col min="14081" max="14081" width="27.5546875" customWidth="1"/>
    <col min="14082" max="14082" width="8.21875" customWidth="1"/>
    <col min="14083" max="14083" width="12.5546875" customWidth="1"/>
    <col min="14084" max="14084" width="22.44140625" customWidth="1"/>
    <col min="14337" max="14337" width="27.5546875" customWidth="1"/>
    <col min="14338" max="14338" width="8.21875" customWidth="1"/>
    <col min="14339" max="14339" width="12.5546875" customWidth="1"/>
    <col min="14340" max="14340" width="22.44140625" customWidth="1"/>
    <col min="14593" max="14593" width="27.5546875" customWidth="1"/>
    <col min="14594" max="14594" width="8.21875" customWidth="1"/>
    <col min="14595" max="14595" width="12.5546875" customWidth="1"/>
    <col min="14596" max="14596" width="22.44140625" customWidth="1"/>
    <col min="14849" max="14849" width="27.5546875" customWidth="1"/>
    <col min="14850" max="14850" width="8.21875" customWidth="1"/>
    <col min="14851" max="14851" width="12.5546875" customWidth="1"/>
    <col min="14852" max="14852" width="22.44140625" customWidth="1"/>
    <col min="15105" max="15105" width="27.5546875" customWidth="1"/>
    <col min="15106" max="15106" width="8.21875" customWidth="1"/>
    <col min="15107" max="15107" width="12.5546875" customWidth="1"/>
    <col min="15108" max="15108" width="22.44140625" customWidth="1"/>
    <col min="15361" max="15361" width="27.5546875" customWidth="1"/>
    <col min="15362" max="15362" width="8.21875" customWidth="1"/>
    <col min="15363" max="15363" width="12.5546875" customWidth="1"/>
    <col min="15364" max="15364" width="22.44140625" customWidth="1"/>
    <col min="15617" max="15617" width="27.5546875" customWidth="1"/>
    <col min="15618" max="15618" width="8.21875" customWidth="1"/>
    <col min="15619" max="15619" width="12.5546875" customWidth="1"/>
    <col min="15620" max="15620" width="22.44140625" customWidth="1"/>
    <col min="15873" max="15873" width="27.5546875" customWidth="1"/>
    <col min="15874" max="15874" width="8.21875" customWidth="1"/>
    <col min="15875" max="15875" width="12.5546875" customWidth="1"/>
    <col min="15876" max="15876" width="22.44140625" customWidth="1"/>
    <col min="16129" max="16129" width="27.5546875" customWidth="1"/>
    <col min="16130" max="16130" width="8.21875" customWidth="1"/>
    <col min="16131" max="16131" width="12.5546875" customWidth="1"/>
    <col min="16132" max="16132" width="22.44140625" customWidth="1"/>
  </cols>
  <sheetData>
    <row r="1" spans="1:5" s="135" customFormat="1" ht="50.1" customHeight="1">
      <c r="A1" s="133" t="s">
        <v>98</v>
      </c>
      <c r="B1" s="134"/>
      <c r="C1" s="134"/>
      <c r="D1" s="134"/>
      <c r="E1" s="134"/>
    </row>
    <row r="2" spans="1:5" s="135" customFormat="1" ht="39.950000000000003" customHeight="1">
      <c r="A2" s="136"/>
      <c r="B2" s="137"/>
      <c r="C2" s="137"/>
      <c r="D2" s="138"/>
      <c r="E2" s="136"/>
    </row>
    <row r="3" spans="1:5" s="135" customFormat="1" ht="39.950000000000003" customHeight="1" thickBot="1">
      <c r="A3" s="551" t="s">
        <v>99</v>
      </c>
      <c r="B3" s="551"/>
      <c r="C3" s="551"/>
      <c r="D3" s="551"/>
      <c r="E3" s="551"/>
    </row>
    <row r="4" spans="1:5" s="135" customFormat="1" ht="39.950000000000003" customHeight="1" thickBot="1">
      <c r="A4" s="139" t="s">
        <v>100</v>
      </c>
      <c r="B4" s="140" t="s">
        <v>101</v>
      </c>
      <c r="C4" s="140" t="s">
        <v>102</v>
      </c>
      <c r="D4" s="141" t="s">
        <v>103</v>
      </c>
      <c r="E4" s="142" t="s">
        <v>104</v>
      </c>
    </row>
    <row r="5" spans="1:5" s="135" customFormat="1" ht="39.950000000000003" customHeight="1">
      <c r="A5" s="143"/>
      <c r="B5" s="144" t="s">
        <v>105</v>
      </c>
      <c r="C5" s="144" t="s">
        <v>105</v>
      </c>
      <c r="D5" s="145" t="s">
        <v>105</v>
      </c>
      <c r="E5" s="146"/>
    </row>
    <row r="6" spans="1:5" s="135" customFormat="1" ht="39.950000000000003" customHeight="1" thickBot="1">
      <c r="A6" s="147" t="s">
        <v>106</v>
      </c>
      <c r="B6" s="144" t="s">
        <v>107</v>
      </c>
      <c r="C6" s="144">
        <v>1</v>
      </c>
      <c r="D6" s="145">
        <f>[2]산출내역서!J11</f>
        <v>369739458</v>
      </c>
      <c r="E6" s="148"/>
    </row>
    <row r="7" spans="1:5" s="135" customFormat="1" ht="39.950000000000003" customHeight="1" thickBot="1">
      <c r="A7" s="149" t="s">
        <v>108</v>
      </c>
      <c r="B7" s="140" t="s">
        <v>107</v>
      </c>
      <c r="C7" s="140">
        <v>1</v>
      </c>
      <c r="D7" s="150">
        <f>+[2]산출내역서!J18</f>
        <v>406713403.80000001</v>
      </c>
      <c r="E7" s="151"/>
    </row>
    <row r="8" spans="1:5" s="135" customFormat="1" ht="39.950000000000003" customHeight="1" thickBot="1">
      <c r="A8" s="147" t="s">
        <v>109</v>
      </c>
      <c r="B8" s="144" t="s">
        <v>107</v>
      </c>
      <c r="C8" s="144">
        <v>1</v>
      </c>
      <c r="D8" s="152">
        <f>+[2]산출내역서!J22</f>
        <v>155290572</v>
      </c>
      <c r="E8" s="148"/>
    </row>
    <row r="9" spans="1:5" s="135" customFormat="1" ht="30" customHeight="1">
      <c r="A9" s="153" t="s">
        <v>110</v>
      </c>
      <c r="B9" s="154" t="s">
        <v>105</v>
      </c>
      <c r="C9" s="154" t="s">
        <v>105</v>
      </c>
      <c r="D9" s="155">
        <f>+[2]산출내역서!J27</f>
        <v>107199301</v>
      </c>
      <c r="E9" s="156"/>
    </row>
    <row r="10" spans="1:5" s="135" customFormat="1" ht="30" customHeight="1">
      <c r="A10" s="157" t="s">
        <v>111</v>
      </c>
      <c r="B10" s="158" t="s">
        <v>107</v>
      </c>
      <c r="C10" s="158">
        <v>1</v>
      </c>
      <c r="D10" s="159">
        <f>+[2]산출내역서!J30</f>
        <v>100838034</v>
      </c>
      <c r="E10" s="148"/>
    </row>
    <row r="11" spans="1:5" s="135" customFormat="1" ht="30" customHeight="1">
      <c r="A11" s="147" t="s">
        <v>112</v>
      </c>
      <c r="B11" s="144" t="s">
        <v>107</v>
      </c>
      <c r="C11" s="144">
        <v>1</v>
      </c>
      <c r="D11" s="152">
        <f>+[2]산출내역서!J32</f>
        <v>3361267</v>
      </c>
      <c r="E11" s="148"/>
    </row>
    <row r="12" spans="1:5" s="135" customFormat="1" ht="30" customHeight="1">
      <c r="A12" s="147" t="s">
        <v>113</v>
      </c>
      <c r="B12" s="144" t="s">
        <v>107</v>
      </c>
      <c r="C12" s="144">
        <v>1</v>
      </c>
      <c r="D12" s="152">
        <v>0</v>
      </c>
      <c r="E12" s="148"/>
    </row>
    <row r="13" spans="1:5" s="135" customFormat="1" ht="30" customHeight="1">
      <c r="A13" s="147" t="s">
        <v>114</v>
      </c>
      <c r="B13" s="144" t="s">
        <v>107</v>
      </c>
      <c r="C13" s="144">
        <v>1</v>
      </c>
      <c r="D13" s="152">
        <v>0</v>
      </c>
      <c r="E13" s="148"/>
    </row>
    <row r="14" spans="1:5" s="135" customFormat="1" ht="30" customHeight="1" thickBot="1">
      <c r="A14" s="160" t="s">
        <v>115</v>
      </c>
      <c r="B14" s="161" t="s">
        <v>107</v>
      </c>
      <c r="C14" s="161">
        <v>1</v>
      </c>
      <c r="D14" s="162">
        <f>+[2]산출내역서!J37</f>
        <v>3000000</v>
      </c>
      <c r="E14" s="163"/>
    </row>
    <row r="15" spans="1:5" s="135" customFormat="1" ht="39" customHeight="1" thickBot="1">
      <c r="A15" s="147" t="s">
        <v>116</v>
      </c>
      <c r="B15" s="144" t="s">
        <v>117</v>
      </c>
      <c r="C15" s="144">
        <v>1</v>
      </c>
      <c r="D15" s="152">
        <v>0</v>
      </c>
      <c r="E15" s="148"/>
    </row>
    <row r="16" spans="1:5" s="135" customFormat="1" ht="30" customHeight="1">
      <c r="A16" s="164" t="s">
        <v>118</v>
      </c>
      <c r="B16" s="165"/>
      <c r="C16" s="165"/>
      <c r="D16" s="166">
        <f>+[2]산출내역서!J39</f>
        <v>1038942734.8</v>
      </c>
      <c r="E16" s="156"/>
    </row>
    <row r="17" spans="1:5" s="135" customFormat="1" ht="30" customHeight="1" thickBot="1">
      <c r="A17" s="143" t="s">
        <v>119</v>
      </c>
      <c r="B17" s="167"/>
      <c r="C17" s="167"/>
      <c r="D17" s="152">
        <f>+[2]산출내역서!J40</f>
        <v>103894273.48</v>
      </c>
      <c r="E17" s="168"/>
    </row>
    <row r="18" spans="1:5" s="135" customFormat="1" ht="30" customHeight="1" thickBot="1">
      <c r="A18" s="139" t="s">
        <v>120</v>
      </c>
      <c r="B18" s="169"/>
      <c r="C18" s="169"/>
      <c r="D18" s="150">
        <f>D16+D17</f>
        <v>1142837008.28</v>
      </c>
      <c r="E18" s="170"/>
    </row>
    <row r="19" spans="1:5" s="135" customFormat="1" ht="45" customHeight="1" thickBot="1">
      <c r="A19" s="171" t="s">
        <v>121</v>
      </c>
      <c r="B19" s="172" t="s">
        <v>122</v>
      </c>
      <c r="C19" s="173">
        <f>+[2]산출내역서!D6</f>
        <v>1862</v>
      </c>
      <c r="D19" s="174">
        <f>+[2]산출내역서!D56</f>
        <v>1142837008.28</v>
      </c>
      <c r="E19" s="175">
        <f>IF(C19&lt;400,85%,IF(C19&lt;500,90%,IF(C19&gt;500,100%)))</f>
        <v>1</v>
      </c>
    </row>
    <row r="20" spans="1:5" s="135" customFormat="1" ht="30" customHeight="1">
      <c r="B20" s="176"/>
      <c r="C20" s="176"/>
      <c r="D20" s="177"/>
    </row>
    <row r="21" spans="1:5" ht="30" customHeight="1"/>
    <row r="22" spans="1:5" ht="30" customHeight="1"/>
    <row r="23" spans="1:5" ht="30" customHeight="1"/>
    <row r="24" spans="1:5" ht="30" customHeight="1"/>
    <row r="25" spans="1:5" ht="30" customHeight="1"/>
    <row r="26" spans="1:5" ht="30" customHeight="1"/>
    <row r="27" spans="1:5" ht="30" customHeight="1"/>
    <row r="28" spans="1:5" ht="30" customHeight="1"/>
    <row r="29" spans="1:5" ht="30" customHeight="1"/>
    <row r="30" spans="1:5" ht="30" customHeight="1"/>
    <row r="31" spans="1:5" ht="30" customHeight="1"/>
    <row r="32" spans="1:5" ht="30" customHeight="1"/>
    <row r="33" ht="30" customHeight="1"/>
  </sheetData>
  <mergeCells count="1">
    <mergeCell ref="A3:E3"/>
  </mergeCells>
  <phoneticPr fontId="4" type="noConversion"/>
  <pageMargins left="0.54" right="0.52" top="1" bottom="1" header="0.5" footer="0.5"/>
  <pageSetup paperSize="9" orientation="portrait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5</vt:i4>
      </vt:variant>
    </vt:vector>
  </HeadingPairs>
  <TitlesOfParts>
    <vt:vector size="13" baseType="lpstr">
      <vt:lpstr>1P</vt:lpstr>
      <vt:lpstr>총괄표</vt:lpstr>
      <vt:lpstr>전기감리비</vt:lpstr>
      <vt:lpstr>공종별현황표</vt:lpstr>
      <vt:lpstr>예정공정표(건축)</vt:lpstr>
      <vt:lpstr>공종별현황표 (2)</vt:lpstr>
      <vt:lpstr>공종별현황표 (3)</vt:lpstr>
      <vt:lpstr>감리용역비내역서</vt:lpstr>
      <vt:lpstr>공종별현황표!Print_Area</vt:lpstr>
      <vt:lpstr>'공종별현황표 (2)'!Print_Area</vt:lpstr>
      <vt:lpstr>'공종별현황표 (3)'!Print_Area</vt:lpstr>
      <vt:lpstr>'예정공정표(건축)'!Print_Area</vt:lpstr>
      <vt:lpstr>총괄표!Print_Area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DAEWOO</dc:creator>
  <cp:lastModifiedBy>Seogu</cp:lastModifiedBy>
  <cp:lastPrinted>2019-09-14T05:52:00Z</cp:lastPrinted>
  <dcterms:created xsi:type="dcterms:W3CDTF">2013-01-08T02:21:10Z</dcterms:created>
  <dcterms:modified xsi:type="dcterms:W3CDTF">2019-09-20T00:30:52Z</dcterms:modified>
</cp:coreProperties>
</file>